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07_Políticas públicas\Movilidad\"/>
    </mc:Choice>
  </mc:AlternateContent>
  <bookViews>
    <workbookView xWindow="0" yWindow="0" windowWidth="16350" windowHeight="10350" tabRatio="754"/>
  </bookViews>
  <sheets>
    <sheet name="Avance Metas e Indicadores" sheetId="16" r:id="rId1"/>
    <sheet name="Hoja1" sheetId="33" r:id="rId2"/>
    <sheet name="UPZ" sheetId="31" state="hidden" r:id="rId3"/>
    <sheet name="Barrios" sheetId="32" state="hidden" r:id="rId4"/>
  </sheets>
  <externalReferences>
    <externalReference r:id="rId5"/>
    <externalReference r:id="rId6"/>
    <externalReference r:id="rId7"/>
    <externalReference r:id="rId8"/>
    <externalReference r:id="rId9"/>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Indicadores'!$B$11:$AV$91</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Indicadores'!$B$2:$AP$91</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19" i="16" l="1"/>
  <c r="V36" i="16"/>
  <c r="W74" i="16"/>
  <c r="V73" i="16"/>
  <c r="AK62" i="16"/>
  <c r="AJ65" i="16" l="1"/>
  <c r="AJ69" i="16"/>
  <c r="AJ68" i="16"/>
  <c r="AJ38" i="16"/>
  <c r="AK38" i="16" s="1"/>
  <c r="W38" i="16"/>
  <c r="V38" i="16"/>
  <c r="AJ45" i="16"/>
  <c r="AK45" i="16" s="1"/>
  <c r="V45" i="16"/>
  <c r="W45" i="16" s="1"/>
  <c r="AJ44" i="16"/>
  <c r="M44" i="16"/>
  <c r="V44" i="16" s="1"/>
  <c r="K44" i="16"/>
  <c r="AJ50" i="16"/>
  <c r="AK50" i="16" s="1"/>
  <c r="V50" i="16"/>
  <c r="W50" i="16" s="1"/>
  <c r="AA49" i="16"/>
  <c r="V49" i="16"/>
  <c r="K49" i="16"/>
  <c r="AA48" i="16"/>
  <c r="V48" i="16"/>
  <c r="W48" i="16" s="1"/>
  <c r="AA47" i="16"/>
  <c r="V47" i="16"/>
  <c r="K47" i="16"/>
  <c r="AA46" i="16"/>
  <c r="AD46" i="16" s="1"/>
  <c r="AJ56" i="16"/>
  <c r="AK56" i="16" s="1"/>
  <c r="V56" i="16"/>
  <c r="W56" i="16" s="1"/>
  <c r="AJ55" i="16"/>
  <c r="AK55" i="16" s="1"/>
  <c r="V55" i="16"/>
  <c r="K55" i="16"/>
  <c r="AJ54" i="16"/>
  <c r="AK54" i="16" s="1"/>
  <c r="V54" i="16"/>
  <c r="K54" i="16"/>
  <c r="AJ61" i="16"/>
  <c r="AK61" i="16" s="1"/>
  <c r="V61" i="16"/>
  <c r="W61" i="16" s="1"/>
  <c r="AJ63" i="16"/>
  <c r="AK63" i="16" s="1"/>
  <c r="V63" i="16"/>
  <c r="W63" i="16" s="1"/>
  <c r="M62" i="16"/>
  <c r="V62" i="16" s="1"/>
  <c r="K62" i="16"/>
  <c r="AJ58" i="16"/>
  <c r="AK58" i="16" s="1"/>
  <c r="V58" i="16"/>
  <c r="W58" i="16" s="1"/>
  <c r="AJ57" i="16"/>
  <c r="AK57" i="16" s="1"/>
  <c r="V57" i="16"/>
  <c r="W57" i="16" s="1"/>
  <c r="AA18" i="16"/>
  <c r="AD18" i="16" s="1"/>
  <c r="AJ18" i="16" s="1"/>
  <c r="AK18" i="16" s="1"/>
  <c r="V18" i="16"/>
  <c r="K18" i="16"/>
  <c r="AJ28" i="16"/>
  <c r="AK28" i="16" s="1"/>
  <c r="V28" i="16"/>
  <c r="W28" i="16" s="1"/>
  <c r="AA53" i="16"/>
  <c r="V53" i="16"/>
  <c r="W53" i="16" s="1"/>
  <c r="AA52" i="16"/>
  <c r="AD52" i="16" s="1"/>
  <c r="AJ52" i="16" s="1"/>
  <c r="AK52" i="16" s="1"/>
  <c r="V52" i="16"/>
  <c r="K52" i="16"/>
  <c r="AJ51" i="16"/>
  <c r="AK51" i="16" s="1"/>
  <c r="V51" i="16"/>
  <c r="K51" i="16"/>
  <c r="AA60" i="16"/>
  <c r="V60" i="16"/>
  <c r="W60" i="16" s="1"/>
  <c r="AA59" i="16"/>
  <c r="AD59" i="16" s="1"/>
  <c r="AJ59" i="16" s="1"/>
  <c r="AK59" i="16" s="1"/>
  <c r="V59" i="16"/>
  <c r="W59" i="16" s="1"/>
  <c r="AJ35" i="16"/>
  <c r="AK35" i="16" s="1"/>
  <c r="W35" i="16"/>
  <c r="V35" i="16"/>
  <c r="W54" i="16" l="1"/>
  <c r="W44" i="16"/>
  <c r="W49" i="16"/>
  <c r="W47" i="16"/>
  <c r="M46" i="16"/>
  <c r="AJ46" i="16"/>
  <c r="AK46" i="16" s="1"/>
  <c r="AD49" i="16"/>
  <c r="AJ49" i="16" s="1"/>
  <c r="AK49" i="16" s="1"/>
  <c r="AD48" i="16"/>
  <c r="AJ48" i="16" s="1"/>
  <c r="AK48" i="16" s="1"/>
  <c r="AD47" i="16"/>
  <c r="AJ47" i="16" s="1"/>
  <c r="AK47" i="16" s="1"/>
  <c r="W55" i="16"/>
  <c r="W62" i="16"/>
  <c r="W18" i="16"/>
  <c r="W51" i="16"/>
  <c r="W52" i="16"/>
  <c r="AD53" i="16"/>
  <c r="AJ53" i="16" s="1"/>
  <c r="AK53" i="16" s="1"/>
  <c r="AD60" i="16"/>
  <c r="AJ60" i="16" s="1"/>
  <c r="AK60" i="16" s="1"/>
  <c r="AJ30" i="16"/>
  <c r="AJ31" i="16"/>
  <c r="AJ32" i="16"/>
  <c r="AJ33" i="16"/>
  <c r="AJ29" i="16"/>
  <c r="V29" i="16"/>
  <c r="AJ13" i="16"/>
  <c r="V43" i="16"/>
  <c r="AJ22" i="16"/>
  <c r="AJ21" i="16"/>
  <c r="AJ20" i="16"/>
  <c r="AK20" i="16" s="1"/>
  <c r="AJ75" i="16"/>
  <c r="AJ74" i="16"/>
  <c r="AK71" i="16"/>
  <c r="AJ71" i="16"/>
  <c r="V46" i="16" l="1"/>
  <c r="K46" i="16"/>
  <c r="AJ67" i="16"/>
  <c r="W46" i="16" l="1"/>
  <c r="W66" i="16"/>
  <c r="V66" i="16"/>
  <c r="AK32" i="16" l="1"/>
  <c r="AK17" i="16"/>
  <c r="AK16" i="16"/>
  <c r="AJ37" i="16" l="1"/>
  <c r="AJ36" i="16"/>
  <c r="V37" i="16"/>
  <c r="AJ73" i="16" l="1"/>
  <c r="AJ76" i="16"/>
  <c r="W71" i="16"/>
  <c r="AJ70" i="16" l="1"/>
  <c r="V67" i="16" l="1"/>
  <c r="AJ66" i="16" l="1"/>
  <c r="AK66" i="16" s="1"/>
  <c r="AA22" i="16" l="1"/>
  <c r="AA21" i="16"/>
  <c r="K21" i="16"/>
  <c r="AA20" i="16"/>
  <c r="AA24" i="16"/>
  <c r="AJ24" i="16" s="1"/>
  <c r="AK24" i="16" s="1"/>
  <c r="K24" i="16"/>
  <c r="AA23" i="16"/>
  <c r="AJ23" i="16" s="1"/>
  <c r="AK23" i="16" s="1"/>
  <c r="AA43" i="16" l="1"/>
  <c r="AJ43" i="16" s="1"/>
  <c r="AK13" i="16"/>
  <c r="V13" i="16"/>
  <c r="K13" i="16"/>
  <c r="AA12" i="16"/>
  <c r="V12" i="16"/>
  <c r="AA15" i="16"/>
  <c r="AJ15" i="16" s="1"/>
  <c r="AJ14" i="16"/>
  <c r="AK30" i="16"/>
  <c r="AK31" i="16"/>
  <c r="AK33" i="16"/>
  <c r="AA19" i="16"/>
  <c r="AJ19" i="16" s="1"/>
  <c r="AA34" i="16"/>
  <c r="AJ34" i="16" s="1"/>
  <c r="AJ12" i="16" l="1"/>
  <c r="AK12" i="16" s="1"/>
  <c r="W13" i="16"/>
  <c r="AJ25" i="16"/>
  <c r="V64" i="16"/>
  <c r="V14" i="16" l="1"/>
  <c r="V19" i="16" l="1"/>
  <c r="AK29" i="16" l="1"/>
  <c r="AK15" i="16" l="1"/>
  <c r="AK14" i="16"/>
  <c r="V15" i="16"/>
  <c r="K23" i="16"/>
  <c r="AK21" i="16"/>
  <c r="V21" i="16"/>
  <c r="W21" i="16" s="1"/>
  <c r="V20" i="16"/>
  <c r="K22" i="16"/>
  <c r="AK22" i="16" l="1"/>
  <c r="AK37" i="16"/>
  <c r="W37" i="16"/>
  <c r="V39" i="16"/>
  <c r="AK27" i="16"/>
  <c r="AK26" i="16"/>
  <c r="AJ27" i="16"/>
  <c r="AJ26" i="16"/>
  <c r="W27" i="16"/>
  <c r="W26" i="16"/>
  <c r="W75" i="16"/>
  <c r="V75" i="16"/>
  <c r="V74" i="16"/>
  <c r="W73" i="16"/>
  <c r="AK76" i="16"/>
  <c r="V76" i="16"/>
  <c r="V71" i="16"/>
  <c r="AK67" i="16"/>
  <c r="V34" i="16" l="1"/>
  <c r="AK34" i="16"/>
  <c r="W34" i="16"/>
  <c r="AK25" i="16"/>
  <c r="V25" i="16"/>
  <c r="W64" i="16" l="1"/>
  <c r="AK65" i="16" l="1"/>
  <c r="V65" i="16"/>
  <c r="W42" i="16"/>
  <c r="W17" i="16"/>
  <c r="W16" i="16"/>
  <c r="V72" i="16" l="1"/>
  <c r="W72" i="16" s="1"/>
  <c r="K15" i="16" l="1"/>
  <c r="W15" i="16" s="1"/>
  <c r="K14" i="16"/>
  <c r="W14" i="16" s="1"/>
  <c r="V23" i="16" l="1"/>
  <c r="V22" i="16"/>
  <c r="W22" i="16" s="1"/>
  <c r="AK73" i="16"/>
  <c r="W67" i="16"/>
  <c r="W25" i="16" l="1"/>
  <c r="K12" i="16"/>
  <c r="W12" i="16"/>
  <c r="AK43" i="16"/>
  <c r="V70" i="16" l="1"/>
  <c r="W70" i="16" s="1"/>
  <c r="V30" i="16"/>
  <c r="V32" i="16"/>
  <c r="V33" i="16"/>
  <c r="V24" i="16"/>
  <c r="W24" i="16" s="1"/>
  <c r="W23" i="16"/>
  <c r="W36" i="16"/>
  <c r="V27" i="16"/>
  <c r="K43" i="16"/>
  <c r="AJ40" i="16"/>
  <c r="AK40" i="16" s="1"/>
  <c r="AJ39" i="16"/>
  <c r="AK39" i="16" s="1"/>
  <c r="M42" i="16"/>
  <c r="K42" i="16"/>
  <c r="K41" i="16"/>
  <c r="AK36" i="16"/>
  <c r="K33" i="16"/>
  <c r="K32" i="16"/>
  <c r="V31" i="16"/>
  <c r="K31" i="16"/>
  <c r="K30" i="16"/>
  <c r="K29" i="16"/>
  <c r="K20" i="16"/>
  <c r="AK19" i="16"/>
  <c r="M17" i="16"/>
  <c r="K17" i="16"/>
  <c r="K16" i="16"/>
  <c r="AJ64" i="16"/>
  <c r="AK64" i="16" s="1"/>
  <c r="AK70" i="16"/>
  <c r="V79" i="16"/>
  <c r="V80" i="16"/>
  <c r="V81" i="16"/>
  <c r="V82" i="16"/>
  <c r="V84" i="16"/>
  <c r="V89" i="16"/>
  <c r="V90" i="16"/>
  <c r="V78" i="16"/>
  <c r="K64" i="16"/>
  <c r="K76" i="16"/>
  <c r="W76" i="16" s="1"/>
  <c r="W65" i="16"/>
  <c r="W40" i="16"/>
  <c r="W39" i="16"/>
  <c r="AJ17" i="16"/>
  <c r="AJ16" i="16"/>
  <c r="W31" i="16" l="1"/>
  <c r="W29" i="16"/>
  <c r="W20" i="16"/>
  <c r="W43" i="16"/>
  <c r="W33" i="16"/>
  <c r="W32" i="16"/>
  <c r="W30" i="16"/>
</calcChain>
</file>

<file path=xl/comments1.xml><?xml version="1.0" encoding="utf-8"?>
<comments xmlns="http://schemas.openxmlformats.org/spreadsheetml/2006/main">
  <authors>
    <author>User</author>
  </authors>
  <commentList>
    <comment ref="AK74"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AK75" authorId="0" shapeId="0">
      <text>
        <r>
          <rPr>
            <b/>
            <sz val="9"/>
            <color indexed="81"/>
            <rFont val="Tahoma"/>
            <family val="2"/>
          </rPr>
          <t>User:</t>
        </r>
        <r>
          <rPr>
            <sz val="9"/>
            <color indexed="81"/>
            <rFont val="Tahoma"/>
            <family val="2"/>
          </rPr>
          <t xml:space="preserve">
Se calcula con LB y responde a la siguiente fórmula: 
(Ejecutado Vigencia Anterior - ejecutado vigencia) / (Ejecutado Vigencia Anterior - Programado Vigencia)</t>
        </r>
      </text>
    </comment>
    <comment ref="L78" authorId="0" shapeId="0">
      <text>
        <r>
          <rPr>
            <b/>
            <sz val="9"/>
            <color indexed="81"/>
            <rFont val="Tahoma"/>
            <family val="2"/>
          </rPr>
          <t>User:</t>
        </r>
        <r>
          <rPr>
            <sz val="9"/>
            <color indexed="81"/>
            <rFont val="Tahoma"/>
            <family val="2"/>
          </rPr>
          <t xml:space="preserve">
Los datos se obtuvieron a partir de información suministrada por el ente gestor del Sistema TransMilenio. Se realiza promedio ponderado por el parque automotor.</t>
        </r>
      </text>
    </comment>
    <comment ref="L79" authorId="0" shapeId="0">
      <text>
        <r>
          <rPr>
            <b/>
            <sz val="9"/>
            <color indexed="81"/>
            <rFont val="Tahoma"/>
            <family val="2"/>
          </rPr>
          <t>User:</t>
        </r>
        <r>
          <rPr>
            <sz val="9"/>
            <color indexed="81"/>
            <rFont val="Tahoma"/>
            <family val="2"/>
          </rPr>
          <t xml:space="preserve">
Fuente: RTO-SIM. Corte: 31 de diciembre de cada año. Cálculos: DIM-SDM. Nota: Vehículos de TPC y TM con TO vigente.
SIM (Servicios Integrales para la Movilidad) Registro Distrital Automotor y Registro de Tarjetas de Operación.</t>
        </r>
      </text>
    </comment>
    <comment ref="L80" authorId="0" shapeId="0">
      <text>
        <r>
          <rPr>
            <b/>
            <sz val="9"/>
            <color indexed="81"/>
            <rFont val="Tahoma"/>
            <family val="2"/>
          </rPr>
          <t>User:</t>
        </r>
        <r>
          <rPr>
            <sz val="9"/>
            <color indexed="81"/>
            <rFont val="Tahoma"/>
            <family val="2"/>
          </rPr>
          <t xml:space="preserve">
El dato oficial de ocupación de vehículos del servicio de transporte individual es de 63.2% de acuerdo a los indicadores presentados por ICOVIAS en el marco del contrato 1210 de 2016, el cual tenía por objeto: "Estructuración de la estrategia para el seguimiento y la implementación de las condiciones de la prestación del servicio público de transporte terrestre automotor individual en el nivel básico y de lujo en la ciudad de Bogotá d.c., de acuerdo a lo establecido en el Decreto 2297 de 2015 y Decreto 1079 de 2015"</t>
        </r>
      </text>
    </comment>
    <comment ref="L81" authorId="0" shapeId="0">
      <text>
        <r>
          <rPr>
            <b/>
            <sz val="9"/>
            <color indexed="81"/>
            <rFont val="Tahoma"/>
            <family val="2"/>
          </rPr>
          <t>User:</t>
        </r>
        <r>
          <rPr>
            <sz val="9"/>
            <color indexed="81"/>
            <rFont val="Tahoma"/>
            <family val="2"/>
          </rPr>
          <t xml:space="preserve">
Fuente: Sistema de Información Geográfica del Instituto de Desarrollo Urbano –SIGIDU, corte a 30 de junio de 2020</t>
        </r>
      </text>
    </comment>
    <comment ref="L82" authorId="0" shapeId="0">
      <text>
        <r>
          <rPr>
            <b/>
            <sz val="9"/>
            <color indexed="81"/>
            <rFont val="Tahoma"/>
            <family val="2"/>
          </rPr>
          <t>User:</t>
        </r>
        <r>
          <rPr>
            <sz val="9"/>
            <color indexed="81"/>
            <rFont val="Tahoma"/>
            <family val="2"/>
          </rPr>
          <t xml:space="preserve">
Información suministrada por la Dirección de Inteligencia para la Movilidad (DIM), 2020</t>
        </r>
      </text>
    </comment>
    <comment ref="L83" authorId="0" shapeId="0">
      <text>
        <r>
          <rPr>
            <b/>
            <sz val="9"/>
            <color indexed="81"/>
            <rFont val="Tahoma"/>
            <family val="2"/>
          </rPr>
          <t>User:</t>
        </r>
        <r>
          <rPr>
            <sz val="9"/>
            <color indexed="81"/>
            <rFont val="Tahoma"/>
            <family val="2"/>
          </rPr>
          <t xml:space="preserve">
Dato quinquenal de la Encuesta de Movilidad 2019. Distancia promedio -sin viajes a pie- (km). Información suministrada por la Dirección de Inteligencia para la Movilidad (DIM), 2019:8,75</t>
        </r>
      </text>
    </comment>
    <comment ref="L84" authorId="0" shapeId="0">
      <text>
        <r>
          <rPr>
            <b/>
            <sz val="9"/>
            <color indexed="81"/>
            <rFont val="Tahoma"/>
            <family val="2"/>
          </rPr>
          <t>User:</t>
        </r>
        <r>
          <rPr>
            <sz val="9"/>
            <color indexed="81"/>
            <rFont val="Tahoma"/>
            <family val="2"/>
          </rPr>
          <t xml:space="preserve">
Información suministrada por la Dirección de Inteligencia para la Movilidad (DIM), 2020, proporcionada por la Subdirección de Gestión en Vía (bitcarrier)</t>
        </r>
      </text>
    </comment>
    <comment ref="L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N85" authorId="0" shapeId="0">
      <text>
        <r>
          <rPr>
            <b/>
            <sz val="9"/>
            <color indexed="81"/>
            <rFont val="Tahoma"/>
            <family val="2"/>
          </rPr>
          <t>User:</t>
        </r>
        <r>
          <rPr>
            <sz val="9"/>
            <color indexed="81"/>
            <rFont val="Tahoma"/>
            <family val="2"/>
          </rPr>
          <t xml:space="preserve">
Información consolidada por la Subdirección de Transporte Privado, 2020
% EJEC ESTRATEGIAS ORDENAMIENTO LOGÍSTICO: 68%</t>
        </r>
      </text>
    </comment>
    <comment ref="L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N86" authorId="0" shapeId="0">
      <text>
        <r>
          <rPr>
            <b/>
            <sz val="9"/>
            <color indexed="81"/>
            <rFont val="Tahoma"/>
            <family val="2"/>
          </rPr>
          <t>User:</t>
        </r>
        <r>
          <rPr>
            <sz val="9"/>
            <color indexed="81"/>
            <rFont val="Tahoma"/>
            <family val="2"/>
          </rPr>
          <t xml:space="preserve">
Se calcula según las ventas para el sector transporte de ACPM, ACEM, Gasolina Extra y Corriente y Gas Natural Vehicular, GNV, reportadas por ECOPETROL, para los dos primeros, por la Secretaría Distrital de Hacienda para el caso de la gasolina y por la empresa Gas Natural. Estas ventas en galones de gasolina y ACPM y los metros cúbicos de GNV son transformados a Giga Julios, unidad de energía, de acuerdo con los factores de conversión señalados en el documento del Plan Maestro de Movilidad-PMM (valores de la Tabla 18-18 ). De allí se calcula el porcentaje de energía consumida en GNV, del total de energía.
Los registros publicados en la página web de ECOPETROL cuentan con información a noviembre de 2007 y para los años 2006 y 2007 se consideran en barriles por lo cual se utiliza una equivalencia de 1 Bls = 42  Gls para convertirlos a galones.
Para el cálculo correspondiente al año 2008 sólo se cuenta con información para consumo de GNV y gasolina, suministrados por la empresa Gas Natural ESP y la Secretaría Distrital de Hacienda, respectivamente.  Por lo cual aún no es posible reportar el indicador para este año.
NOTA: Con un consumo porcentual de GNV inferior al 3,30% del total de combustibles expresados en GJ el resultado del indicador es Cero (0). El indicador alcanzará su máximo valor 1,0 únicamente, cuando el consumo sea exclusivo de GNV 100%.
Fuente: Base de declaraciones de Sobretasa presentadas. Cálculos: Oficina de Fiscalización P y C -Subdirección de Impuestos a la Producción y al Consumo
 http://www.ecopetrol.com.co/contenido.aspx?catID=36&amp;conID=35299 (diesel y biodiesel - cifras a noviembre de 2007). 
Empresa Gas Natural S.A. División Gas Natural Vehicular (cifras a diciembre de 2008)
Cálculos: Dirección de Estudios Sectoriales y de Servicios - Secretaría Distrital de Movilidad
</t>
        </r>
      </text>
    </comment>
    <comment ref="L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7"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N88"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89" authorId="0" shapeId="0">
      <text>
        <r>
          <rPr>
            <b/>
            <sz val="9"/>
            <color indexed="81"/>
            <rFont val="Tahoma"/>
            <family val="2"/>
          </rPr>
          <t>User:</t>
        </r>
        <r>
          <rPr>
            <sz val="9"/>
            <color indexed="81"/>
            <rFont val="Tahoma"/>
            <family val="2"/>
          </rPr>
          <t xml:space="preserve">
Fuente: OAP.  Este indicador presenta valores entre 0 y 1. Cuando el cálculo del indicador dé un valor mayor que 1, se tomará 1.</t>
        </r>
      </text>
    </comment>
    <comment ref="L90" authorId="0" shapeId="0">
      <text>
        <r>
          <rPr>
            <b/>
            <sz val="9"/>
            <color indexed="81"/>
            <rFont val="Tahoma"/>
            <family val="2"/>
          </rPr>
          <t>User:</t>
        </r>
        <r>
          <rPr>
            <sz val="9"/>
            <color indexed="81"/>
            <rFont val="Tahoma"/>
            <family val="2"/>
          </rPr>
          <t xml:space="preserve">
Información consolidada desde la Dirección de Planeación de la Movilidad y la OTIC.</t>
        </r>
      </text>
    </comment>
    <comment ref="N90"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 ref="L91" authorId="0" shapeId="0">
      <text>
        <r>
          <rPr>
            <b/>
            <sz val="9"/>
            <color indexed="81"/>
            <rFont val="Tahoma"/>
            <family val="2"/>
          </rPr>
          <t>User:</t>
        </r>
        <r>
          <rPr>
            <sz val="9"/>
            <color indexed="81"/>
            <rFont val="Tahoma"/>
            <family val="2"/>
          </rPr>
          <t xml:space="preserve">
Dato quinquenal de la Encuesta de Movilidad 2019. Información suministrada por la Dirección de Inteligencia para la Movilidad (DIM), 2019</t>
        </r>
      </text>
    </comment>
  </commentList>
</comments>
</file>

<file path=xl/sharedStrings.xml><?xml version="1.0" encoding="utf-8"?>
<sst xmlns="http://schemas.openxmlformats.org/spreadsheetml/2006/main" count="3200" uniqueCount="2589">
  <si>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</si>
  <si>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</si>
  <si>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</si>
  <si>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</si>
  <si>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</si>
  <si>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</si>
  <si>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</si>
  <si>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</si>
  <si>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</si>
  <si>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</si>
  <si>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</si>
  <si>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</si>
  <si>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</si>
  <si>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</si>
  <si>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</si>
  <si>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</si>
  <si>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</si>
  <si>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</si>
  <si>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</si>
  <si>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</si>
  <si>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</si>
  <si>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</si>
  <si>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</si>
  <si>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</si>
  <si>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</si>
  <si>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</si>
  <si>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</si>
  <si>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</si>
  <si>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</si>
  <si>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</si>
  <si>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</si>
  <si>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</si>
  <si>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</si>
  <si>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</si>
  <si>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</si>
  <si>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</si>
  <si>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</si>
  <si>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</si>
  <si>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</si>
  <si>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</si>
  <si>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</si>
  <si>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</si>
  <si>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</si>
  <si>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</si>
  <si>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</si>
  <si>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</si>
  <si>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</si>
  <si>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</si>
  <si>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</si>
  <si>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</si>
  <si>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</si>
  <si>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</si>
  <si>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</si>
  <si>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</si>
  <si>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</si>
  <si>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</si>
  <si>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</si>
  <si>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</si>
  <si>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</si>
  <si>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</si>
  <si>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</si>
  <si>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</si>
  <si>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</si>
  <si>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</si>
  <si>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</si>
  <si>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</si>
  <si>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</si>
  <si>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</si>
  <si>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</si>
  <si>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</si>
  <si>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</si>
  <si>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</si>
  <si>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</si>
  <si>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</si>
  <si>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</si>
  <si>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</si>
  <si>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</si>
  <si>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</si>
  <si>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</si>
  <si>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</si>
  <si>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</si>
  <si>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</si>
  <si>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</si>
  <si>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</si>
  <si>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</si>
  <si>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</si>
  <si>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</si>
  <si>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</si>
  <si>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</si>
  <si>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</si>
  <si>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</si>
  <si>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</si>
  <si>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</si>
  <si>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</si>
  <si>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</si>
  <si>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</si>
  <si>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</si>
  <si>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</si>
  <si>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</si>
  <si>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</si>
  <si>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</si>
  <si>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</si>
  <si>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</si>
  <si>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</si>
  <si>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</si>
  <si>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</si>
  <si>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</si>
  <si>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</si>
  <si>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</si>
  <si>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</si>
  <si>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</si>
  <si>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</si>
  <si>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</si>
  <si>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</si>
  <si>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</si>
  <si>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</si>
  <si>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</si>
  <si>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</si>
  <si>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</si>
  <si>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</si>
  <si>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</si>
  <si>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</si>
  <si>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</si>
  <si>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</si>
  <si>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</si>
  <si>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</si>
  <si>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</si>
  <si>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</si>
  <si>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</si>
  <si>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</si>
  <si>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</si>
  <si>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</si>
  <si>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</si>
  <si>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</si>
  <si>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</si>
  <si>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</si>
  <si>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</si>
  <si>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</si>
  <si>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</si>
  <si>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</si>
  <si>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</si>
  <si>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</si>
  <si>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</si>
  <si>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</si>
  <si>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</si>
  <si>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</si>
  <si>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</si>
  <si>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</si>
  <si>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</si>
  <si>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</si>
  <si>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</si>
  <si>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</si>
  <si>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</si>
  <si>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</si>
  <si>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</si>
  <si>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</si>
  <si>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</si>
  <si>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</si>
  <si>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</si>
  <si>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</si>
  <si>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</si>
  <si>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</si>
  <si>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</si>
  <si>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</si>
  <si>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</si>
  <si>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</si>
  <si>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</si>
  <si>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</si>
  <si>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</si>
  <si>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</si>
  <si>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</si>
  <si>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</si>
  <si>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</si>
  <si>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</si>
  <si>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</si>
  <si>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</si>
  <si>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</si>
  <si>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</si>
  <si>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</si>
  <si>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</si>
  <si>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</si>
  <si>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</si>
  <si>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</si>
  <si>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</si>
  <si>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</si>
  <si>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</si>
  <si>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</si>
  <si>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</si>
  <si>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</si>
  <si>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</si>
  <si>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</si>
  <si>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</si>
  <si>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</si>
  <si>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</si>
  <si>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</si>
  <si>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</si>
  <si>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</si>
  <si>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</si>
  <si>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</si>
  <si>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</si>
  <si>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</si>
  <si>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</si>
  <si>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</si>
  <si>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</si>
  <si>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</si>
  <si>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</si>
  <si>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</si>
  <si>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</si>
  <si>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</si>
  <si>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</si>
  <si>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</si>
  <si>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</si>
  <si>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</si>
  <si>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</si>
  <si>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</si>
  <si>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</si>
  <si>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</si>
  <si>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</si>
  <si>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</si>
  <si>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</si>
  <si>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</si>
  <si>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</si>
  <si>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</si>
  <si>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</si>
  <si>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</si>
  <si>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</si>
  <si>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</si>
  <si>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</si>
  <si>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</si>
  <si>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</si>
  <si>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</si>
  <si>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</si>
  <si>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</si>
  <si>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</si>
  <si>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</si>
  <si>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</si>
  <si>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</si>
  <si>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</si>
  <si>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</si>
  <si>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</si>
  <si>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</si>
  <si>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</si>
  <si>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</si>
  <si>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</si>
  <si>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</si>
  <si>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</si>
  <si>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</si>
  <si>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</si>
  <si>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</si>
  <si>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</si>
  <si>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</si>
  <si>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</si>
  <si>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</si>
  <si>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</si>
  <si>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</si>
  <si>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</si>
  <si>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</si>
  <si>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</si>
  <si>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</si>
  <si>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</si>
  <si>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</si>
  <si>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</si>
  <si>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</si>
  <si>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</si>
  <si>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</si>
  <si>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</si>
  <si>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</si>
  <si>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</si>
  <si>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</si>
  <si>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</si>
  <si>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</si>
  <si>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</si>
  <si>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</si>
  <si>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</si>
  <si>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</si>
  <si>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</si>
  <si>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</si>
  <si>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</si>
  <si>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</si>
  <si>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</si>
  <si>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</si>
  <si>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</si>
  <si>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</si>
  <si>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</si>
  <si>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</si>
  <si>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</si>
  <si>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</si>
  <si>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</si>
  <si>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</si>
  <si>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</si>
  <si>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</si>
  <si>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</si>
  <si>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</si>
  <si>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</si>
  <si>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</si>
  <si>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</si>
  <si>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</si>
  <si>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</si>
  <si>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</si>
  <si>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</si>
  <si>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</si>
  <si>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</si>
  <si>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</si>
  <si>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</si>
  <si>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</si>
  <si>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</si>
  <si>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</si>
  <si>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</si>
  <si>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</si>
  <si>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</si>
  <si>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</si>
  <si>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</si>
  <si>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</si>
  <si>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</si>
  <si>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</si>
  <si>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</si>
  <si>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</si>
  <si>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</si>
  <si>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</si>
  <si>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</si>
  <si>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</si>
  <si>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</si>
  <si>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</si>
  <si>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</si>
  <si>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</si>
  <si>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</si>
  <si>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</si>
  <si>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</si>
  <si>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</si>
  <si>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</si>
  <si>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</si>
  <si>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</si>
  <si>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</si>
  <si>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</si>
  <si>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</si>
  <si>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</si>
  <si>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</si>
  <si>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</si>
  <si>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</si>
  <si>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</si>
  <si>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</si>
  <si>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</si>
  <si>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</si>
  <si>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</si>
  <si>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</si>
  <si>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</si>
  <si>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</si>
  <si>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</si>
  <si>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</si>
  <si>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</si>
  <si>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</si>
  <si>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</si>
  <si>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</si>
  <si>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</si>
  <si>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</si>
  <si>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</si>
  <si>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</si>
  <si>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</si>
  <si>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</si>
  <si>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</si>
  <si>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</si>
  <si>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</si>
  <si>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</si>
  <si>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</si>
  <si>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</si>
  <si>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</si>
  <si>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</si>
  <si>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</si>
  <si>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</si>
  <si>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</si>
  <si>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</si>
  <si>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</si>
  <si>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</si>
  <si>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</si>
  <si>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</si>
  <si>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</si>
  <si>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</si>
  <si>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</si>
  <si>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</si>
  <si>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</si>
  <si>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</si>
  <si>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</si>
  <si>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</si>
  <si>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</si>
  <si>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</si>
  <si>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</si>
  <si>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</si>
  <si>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</si>
  <si>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</si>
  <si>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</si>
  <si>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</si>
  <si>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</si>
  <si>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</si>
  <si>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</si>
  <si>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</si>
  <si>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</si>
  <si>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</si>
  <si>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</si>
  <si>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</si>
  <si>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</si>
  <si>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</si>
  <si>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</si>
  <si>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</si>
  <si>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</si>
  <si>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</si>
  <si>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</si>
  <si>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</si>
  <si>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</si>
  <si>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</si>
  <si>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</si>
  <si>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</si>
  <si>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</si>
  <si>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</si>
  <si>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</si>
  <si>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</si>
  <si>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</si>
  <si>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</si>
  <si>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</si>
  <si>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</si>
  <si>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</si>
  <si>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</si>
  <si>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</si>
  <si>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</si>
  <si>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</si>
  <si>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</si>
  <si>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</si>
  <si>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</si>
  <si>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</si>
  <si>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</si>
  <si>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</si>
  <si>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</si>
  <si>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</si>
  <si>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</si>
  <si>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</si>
  <si>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</si>
  <si>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</si>
  <si>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</si>
  <si>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</si>
  <si>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</si>
  <si>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</si>
  <si>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</si>
  <si>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</si>
  <si>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</si>
  <si>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</si>
  <si>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</si>
  <si>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</si>
  <si>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</si>
  <si>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</si>
  <si>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</si>
  <si>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</si>
  <si>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</si>
  <si>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</si>
  <si>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</si>
  <si>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</si>
  <si>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</si>
  <si>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</si>
  <si>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</si>
  <si>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</si>
  <si>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</si>
  <si>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</si>
  <si>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</si>
  <si>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</si>
  <si>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</si>
  <si>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</si>
  <si>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</si>
  <si>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</si>
  <si>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</si>
  <si>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</si>
  <si>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</si>
  <si>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</si>
  <si>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</si>
  <si>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</si>
  <si>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</si>
  <si>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</si>
  <si>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</si>
  <si>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</si>
  <si>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</si>
  <si>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</si>
  <si>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</si>
  <si>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</si>
  <si>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</si>
  <si>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</si>
  <si>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</si>
  <si>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</si>
  <si>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</si>
  <si>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</si>
  <si>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</si>
  <si>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</si>
  <si>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</si>
  <si>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</si>
  <si>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</si>
  <si>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</si>
  <si>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</si>
  <si>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</si>
  <si>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</si>
  <si>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</si>
  <si>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</si>
  <si>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</si>
  <si>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</si>
  <si>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</si>
  <si>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</si>
  <si>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</si>
  <si>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</si>
  <si>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</si>
  <si>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</si>
  <si>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</si>
  <si>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</si>
  <si>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</si>
  <si>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</si>
  <si>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</si>
  <si>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</si>
  <si>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</si>
  <si>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</si>
  <si>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</si>
  <si>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</si>
  <si>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</si>
  <si>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</si>
  <si>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</si>
  <si>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</si>
  <si>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</si>
  <si>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</si>
  <si>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</si>
  <si>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</si>
  <si>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</si>
  <si>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</si>
  <si>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</si>
  <si>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</si>
  <si>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</si>
  <si>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</si>
  <si>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</si>
  <si>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</si>
  <si>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</si>
  <si>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</si>
  <si>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</si>
  <si>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</si>
  <si>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</si>
  <si>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</si>
  <si>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</si>
  <si>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</si>
  <si>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</si>
  <si>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</si>
  <si>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</si>
  <si>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</si>
  <si>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</si>
  <si>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</si>
  <si>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</si>
  <si>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</si>
  <si>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</si>
  <si>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</si>
  <si>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</si>
  <si>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</si>
  <si>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</si>
  <si>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</si>
  <si>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</si>
  <si>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</si>
  <si>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</si>
  <si>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</si>
  <si>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</si>
  <si>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</si>
  <si>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</si>
  <si>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</si>
  <si>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</si>
  <si>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</si>
  <si>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</si>
  <si>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</si>
  <si>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</si>
  <si>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</si>
  <si>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</si>
  <si>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</si>
  <si>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</si>
  <si>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</si>
  <si>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</si>
  <si>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</si>
  <si>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</si>
  <si>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</si>
  <si>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</si>
  <si>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</si>
  <si>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</si>
  <si>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</si>
  <si>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</si>
  <si>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</si>
  <si>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</si>
  <si>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</si>
  <si>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</si>
  <si>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</si>
  <si>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</si>
  <si>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</si>
  <si>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</si>
  <si>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</si>
  <si>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</si>
  <si>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</si>
  <si>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</si>
  <si>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</si>
  <si>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</si>
  <si>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</si>
  <si>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</si>
  <si>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</si>
  <si>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</si>
  <si>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</si>
  <si>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</si>
  <si>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</si>
  <si>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</si>
  <si>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</si>
  <si>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</si>
  <si>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</si>
  <si>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</si>
  <si>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</si>
  <si>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</si>
  <si>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</si>
  <si>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</si>
  <si>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</si>
  <si>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</si>
  <si>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</si>
  <si>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</si>
  <si>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</si>
  <si>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</si>
  <si>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</si>
  <si>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</si>
  <si>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</si>
  <si>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</si>
  <si>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</si>
  <si>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</si>
  <si>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</si>
  <si>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</si>
  <si>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</si>
  <si>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</si>
  <si>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</si>
  <si>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</si>
  <si>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</si>
  <si>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</si>
  <si>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</si>
  <si>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</si>
  <si>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</si>
  <si>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</si>
  <si>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</si>
  <si>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</si>
  <si>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</si>
  <si>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</si>
  <si>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</si>
  <si>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</si>
  <si>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</si>
  <si>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</si>
  <si>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</si>
  <si>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</si>
  <si>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</si>
  <si>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</si>
  <si>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</si>
  <si>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</si>
  <si>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</si>
  <si>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</si>
  <si>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</si>
  <si>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</si>
  <si>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</si>
  <si>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</si>
  <si>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</si>
  <si>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</si>
  <si>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</si>
  <si>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</si>
  <si>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</si>
  <si>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</si>
  <si>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</si>
  <si>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</si>
  <si>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</si>
  <si>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</si>
  <si>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</si>
  <si>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</si>
  <si>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</si>
  <si>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</si>
  <si>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</si>
  <si>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</si>
  <si>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</si>
  <si>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</si>
  <si>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</si>
  <si>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</si>
  <si>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</si>
  <si>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</si>
  <si>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</si>
  <si>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</si>
  <si>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</si>
  <si>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</si>
  <si>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</si>
  <si>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</si>
  <si>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</si>
  <si>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</si>
  <si>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</si>
  <si>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</si>
  <si>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</si>
  <si>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</si>
  <si>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</si>
  <si>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</si>
  <si>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</si>
  <si>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</si>
  <si>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</si>
  <si>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</si>
  <si>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</si>
  <si>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</si>
  <si>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</si>
  <si>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</si>
  <si>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</si>
  <si>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</si>
  <si>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</si>
  <si>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</si>
  <si>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</si>
  <si>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</si>
  <si>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</si>
  <si>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</si>
  <si>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</si>
  <si>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</si>
  <si>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</si>
  <si>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</si>
  <si>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</si>
  <si>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</si>
  <si>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</si>
  <si>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</si>
  <si>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</si>
  <si>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</si>
  <si>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</si>
  <si>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</si>
  <si>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</si>
  <si>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</si>
  <si>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</si>
  <si>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</si>
  <si>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</si>
  <si>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</si>
  <si>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</si>
  <si>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</si>
  <si>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</si>
  <si>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</si>
  <si>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</si>
  <si>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</si>
  <si>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</si>
  <si>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</si>
  <si>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</si>
  <si>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</si>
  <si>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</si>
  <si>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</si>
  <si>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</si>
  <si>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</si>
  <si>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</si>
  <si>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</si>
  <si>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</si>
  <si>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</si>
  <si>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</si>
  <si>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</si>
  <si>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</si>
  <si>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</si>
  <si>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</si>
  <si>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</si>
  <si>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</si>
  <si>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</si>
  <si>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</si>
  <si>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</si>
  <si>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</si>
  <si>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</si>
  <si>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</si>
  <si>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</si>
  <si>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</si>
  <si>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</si>
  <si>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</si>
  <si>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</si>
  <si>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</si>
  <si>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</si>
  <si>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</si>
  <si>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</si>
  <si>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</si>
  <si>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</si>
  <si>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</si>
  <si>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</si>
  <si>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</si>
  <si>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</si>
  <si>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</si>
  <si>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</si>
  <si>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</si>
  <si>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</si>
  <si>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</si>
  <si>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</si>
  <si>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</si>
  <si>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</si>
  <si>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</si>
  <si>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</si>
  <si>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</si>
  <si>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</si>
  <si>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</si>
  <si>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</si>
  <si>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</si>
  <si>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</si>
  <si>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</si>
  <si>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</si>
  <si>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</si>
  <si>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</si>
  <si>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</si>
  <si>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</si>
  <si>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</si>
  <si>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</si>
  <si>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</si>
  <si>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</si>
  <si>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</si>
  <si>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</si>
  <si>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</si>
  <si>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</si>
  <si>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</si>
  <si>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</si>
  <si>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</si>
  <si>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</si>
  <si>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</si>
  <si>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</si>
  <si>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</si>
  <si>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</si>
  <si>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</si>
  <si>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</si>
  <si>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</si>
  <si>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</si>
  <si>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</si>
  <si>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</si>
  <si>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</si>
  <si>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</si>
  <si>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</si>
  <si>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</si>
  <si>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</si>
  <si>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</si>
  <si>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</si>
  <si>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</si>
  <si>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</si>
  <si>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</si>
  <si>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</si>
  <si>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</si>
  <si>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</si>
  <si>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</si>
  <si>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</si>
  <si>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</si>
  <si>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</si>
  <si>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</si>
  <si>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</si>
  <si>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</si>
  <si>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</si>
  <si>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</si>
  <si>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</si>
  <si>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</si>
  <si>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</si>
  <si>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</si>
  <si>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</si>
  <si>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</si>
  <si>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</si>
  <si>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</si>
  <si>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</si>
  <si>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</si>
  <si>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</si>
  <si>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</si>
  <si>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</si>
  <si>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</si>
  <si>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</si>
  <si>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</si>
  <si>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</si>
  <si>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</si>
  <si>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</si>
  <si>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</si>
  <si>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</si>
  <si>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</si>
  <si>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</si>
  <si>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</si>
  <si>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</si>
  <si>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</si>
  <si>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</si>
  <si>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</si>
  <si>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</si>
  <si>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</si>
  <si>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</si>
  <si>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</si>
  <si>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</si>
  <si>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</si>
  <si>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</si>
  <si>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</si>
  <si>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</si>
  <si>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</si>
  <si>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</si>
  <si>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</si>
  <si>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</si>
  <si>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</si>
  <si>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</si>
  <si>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</si>
  <si>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</si>
  <si>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</si>
  <si>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</si>
  <si>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</si>
  <si>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</si>
  <si>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</si>
  <si>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</si>
  <si>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</si>
  <si>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</si>
  <si>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</si>
  <si>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</si>
  <si>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</si>
  <si>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</si>
  <si>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</si>
  <si>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</si>
  <si>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</si>
  <si>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</si>
  <si>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</si>
  <si>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</si>
  <si>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</si>
  <si>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</si>
  <si>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</si>
  <si>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</si>
  <si>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</si>
  <si>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</si>
  <si>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</si>
  <si>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</si>
  <si>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</si>
  <si>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</si>
  <si>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</si>
  <si>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</si>
  <si>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</si>
  <si>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</si>
  <si>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</si>
  <si>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</si>
  <si>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</si>
  <si>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</si>
  <si>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</si>
  <si>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</si>
  <si>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</si>
  <si>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</si>
  <si>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</si>
  <si>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</si>
  <si>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</si>
  <si>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</si>
  <si>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</si>
  <si>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</si>
  <si>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</si>
  <si>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</si>
  <si>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</si>
  <si>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</si>
  <si>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</si>
  <si>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</si>
  <si>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</si>
  <si>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</si>
  <si>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</si>
  <si>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</si>
  <si>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</si>
  <si>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</si>
  <si>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</si>
  <si>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</si>
  <si>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</si>
  <si>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</si>
  <si>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</si>
  <si>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</si>
  <si>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</si>
  <si>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</si>
  <si>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</si>
  <si>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</si>
  <si>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</si>
  <si>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</si>
  <si>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</si>
  <si>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</si>
  <si>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</si>
  <si>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</si>
  <si>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</si>
  <si>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</si>
  <si>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</si>
  <si>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</si>
  <si>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</si>
  <si>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</si>
  <si>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</si>
  <si>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</si>
  <si>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</si>
  <si>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</si>
  <si>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</si>
  <si>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</si>
  <si>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</si>
  <si>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</si>
  <si>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</si>
  <si>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</si>
  <si>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</si>
  <si>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</si>
  <si>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</si>
  <si>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</si>
  <si>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</si>
  <si>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</si>
  <si>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</si>
  <si>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</si>
  <si>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</si>
  <si>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</si>
  <si>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</si>
  <si>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</si>
  <si>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</si>
  <si>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</si>
  <si>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</si>
  <si>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</si>
  <si>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</si>
  <si>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</si>
  <si>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</si>
  <si>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</si>
  <si>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</si>
  <si>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</si>
  <si>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</si>
  <si>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</si>
  <si>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</si>
  <si>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</si>
  <si>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</si>
  <si>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</si>
  <si>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</si>
  <si>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</si>
  <si>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</si>
  <si>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</si>
  <si>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</si>
  <si>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</si>
  <si>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</si>
  <si>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</si>
  <si>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</si>
  <si>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</si>
  <si>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</si>
  <si>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</si>
  <si>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</si>
  <si>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</si>
  <si>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</si>
  <si>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</si>
  <si>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</si>
  <si>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</si>
  <si>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</si>
  <si>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</si>
  <si>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</si>
  <si>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</si>
  <si>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</si>
  <si>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</si>
  <si>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</si>
  <si>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</si>
  <si>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</si>
  <si>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</si>
  <si>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</si>
  <si>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</si>
  <si>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</si>
  <si>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</si>
  <si>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</si>
  <si>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</si>
  <si>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</si>
  <si>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</si>
  <si>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</si>
  <si>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</si>
  <si>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</si>
  <si>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</si>
  <si>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</si>
  <si>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</si>
  <si>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</si>
  <si>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</si>
  <si>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</si>
  <si>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</si>
  <si>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</si>
  <si>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</si>
  <si>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</si>
  <si>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</si>
  <si>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</si>
  <si>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</si>
  <si>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</si>
  <si>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</si>
  <si>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</si>
  <si>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</si>
  <si>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</si>
  <si>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</si>
  <si>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</si>
  <si>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</si>
  <si>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</si>
  <si>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</si>
  <si>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</si>
  <si>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</si>
  <si>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</si>
  <si>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</si>
  <si>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</si>
  <si>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</si>
  <si>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</si>
  <si>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</si>
  <si>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</si>
  <si>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</si>
  <si>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</si>
  <si>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</si>
  <si>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</si>
  <si>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</si>
  <si>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</si>
  <si>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</si>
  <si>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</si>
  <si>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</si>
  <si>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</si>
  <si>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</si>
  <si>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</si>
  <si>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</si>
  <si>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</si>
  <si>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</si>
  <si>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</si>
  <si>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</si>
  <si>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</si>
  <si>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</si>
  <si>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</si>
  <si>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</si>
  <si>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</si>
  <si>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</si>
  <si>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</si>
  <si>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</si>
  <si>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</si>
  <si>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</si>
  <si>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</si>
  <si>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</si>
  <si>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</si>
  <si>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</si>
  <si>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</si>
  <si>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</si>
  <si>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</si>
  <si>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</si>
  <si>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</si>
  <si>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</si>
  <si>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</si>
  <si>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</si>
  <si>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</si>
  <si>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</si>
  <si>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</si>
  <si>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</si>
  <si>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</si>
  <si>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</si>
  <si>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</si>
  <si>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</si>
  <si>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</si>
  <si>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</si>
  <si>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</si>
  <si>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</si>
  <si>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</si>
  <si>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</si>
  <si>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</si>
  <si>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</si>
  <si>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</si>
  <si>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</si>
  <si>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</si>
  <si>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</si>
  <si>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</si>
  <si>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</si>
  <si>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</si>
  <si>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</si>
  <si>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</si>
  <si>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</si>
  <si>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</si>
  <si>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</si>
  <si>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</si>
  <si>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</si>
  <si>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</si>
  <si>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</si>
  <si>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</si>
  <si>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</si>
  <si>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</si>
  <si>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</si>
  <si>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</si>
  <si>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</si>
  <si>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</si>
  <si>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</si>
  <si>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</si>
  <si>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</si>
  <si>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</si>
  <si>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</si>
  <si>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</si>
  <si>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</si>
  <si>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</si>
  <si>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</si>
  <si>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</si>
  <si>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</si>
  <si>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</si>
  <si>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</si>
  <si>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</si>
  <si>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</si>
  <si>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</si>
  <si>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</si>
  <si>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</si>
  <si>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</si>
  <si>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</si>
  <si>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</si>
  <si>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</si>
  <si>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</si>
  <si>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</si>
  <si>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</si>
  <si>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</si>
  <si>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</si>
  <si>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</si>
  <si>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</si>
  <si>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</si>
  <si>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</si>
  <si>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</si>
  <si>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</si>
  <si>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</si>
  <si>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</si>
  <si>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</si>
  <si>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</si>
  <si>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</si>
  <si>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</si>
  <si>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</si>
  <si>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</si>
  <si>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</si>
  <si>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</si>
  <si>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</si>
  <si>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</si>
  <si>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</si>
  <si>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</si>
  <si>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</si>
  <si>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</si>
  <si>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</si>
  <si>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</si>
  <si>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</si>
  <si>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</si>
  <si>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</si>
  <si>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</si>
  <si>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</si>
  <si>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</si>
  <si>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</si>
  <si>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</si>
  <si>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</si>
  <si>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</si>
  <si>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</si>
  <si>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</si>
  <si>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</si>
  <si>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</si>
  <si>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</si>
  <si>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</si>
  <si>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</si>
  <si>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</si>
  <si>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</si>
  <si>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</si>
  <si>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</si>
  <si>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</si>
  <si>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</si>
  <si>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</si>
  <si>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</si>
  <si>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</si>
  <si>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</si>
  <si>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</si>
  <si>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</si>
  <si>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</si>
  <si>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</si>
  <si>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</si>
  <si>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</si>
  <si>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</si>
  <si>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</si>
  <si>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</si>
  <si>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</si>
  <si>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</si>
  <si>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</si>
  <si>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</si>
  <si>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</si>
  <si>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</si>
  <si>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</si>
  <si>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</si>
  <si>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</si>
  <si>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</si>
  <si>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</si>
  <si>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</si>
  <si>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</si>
  <si>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</si>
  <si>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</si>
  <si>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</si>
  <si>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</si>
  <si>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</si>
  <si>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</si>
  <si>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</si>
  <si>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</si>
  <si>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</si>
  <si>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</si>
  <si>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</si>
  <si>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</si>
  <si>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</si>
  <si>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</si>
  <si>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</si>
  <si>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</si>
  <si>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</si>
  <si>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</si>
  <si>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</si>
  <si>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</si>
  <si>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</si>
  <si>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</si>
  <si>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</si>
  <si>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</si>
  <si>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</si>
  <si>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</si>
  <si>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</si>
  <si>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</si>
  <si>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</si>
  <si>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</si>
  <si>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</si>
  <si>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</si>
  <si>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</si>
  <si>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</si>
  <si>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</si>
  <si>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</si>
  <si>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</si>
  <si>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</si>
  <si>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</si>
  <si>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</si>
  <si>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</si>
  <si>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</si>
  <si>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</si>
  <si>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</si>
  <si>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</si>
  <si>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</si>
  <si>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</si>
  <si>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</si>
  <si>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</si>
  <si>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</si>
  <si>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</si>
  <si>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</si>
  <si>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</si>
  <si>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</si>
  <si>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</si>
  <si>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</si>
  <si>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</si>
  <si>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</si>
  <si>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</si>
  <si>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</si>
  <si>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</si>
  <si>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</si>
  <si>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</si>
  <si>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</si>
  <si>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</si>
  <si>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</si>
  <si>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</si>
  <si>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</si>
  <si>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</si>
  <si>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</si>
  <si>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</si>
  <si>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</si>
  <si>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</si>
  <si>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</si>
  <si>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</si>
  <si>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</si>
  <si>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</si>
  <si>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</si>
  <si>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</si>
  <si>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</si>
  <si>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</si>
  <si>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</si>
  <si>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</si>
  <si>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</si>
  <si>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</si>
  <si>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</si>
  <si>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</si>
  <si>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</si>
  <si>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</si>
  <si>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</si>
  <si>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</si>
  <si>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</si>
  <si>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</si>
  <si>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</si>
  <si>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</si>
  <si>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</si>
  <si>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</si>
  <si>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</si>
  <si>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</si>
  <si>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</si>
  <si>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</si>
  <si>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</si>
  <si>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</si>
  <si>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</si>
  <si>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</si>
  <si>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</si>
  <si>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</si>
  <si>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</si>
  <si>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</si>
  <si>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</si>
  <si>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</si>
  <si>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</si>
  <si>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</si>
  <si>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</si>
  <si>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</si>
  <si>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</si>
  <si>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</si>
  <si>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</si>
  <si>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</si>
  <si>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</si>
  <si>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</si>
  <si>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</si>
  <si>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</si>
  <si>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</si>
  <si>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</si>
  <si>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</si>
  <si>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</si>
  <si>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</si>
  <si>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</si>
  <si>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</si>
  <si>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</si>
  <si>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</si>
  <si>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</si>
  <si>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</si>
  <si>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</si>
  <si>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</si>
  <si>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</si>
  <si>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</si>
  <si>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</si>
  <si>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</si>
  <si>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</si>
  <si>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</si>
  <si>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</si>
  <si>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</si>
  <si>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</si>
  <si>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</si>
  <si>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</si>
  <si>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</si>
  <si>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</si>
  <si>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</si>
  <si>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</si>
  <si>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</si>
  <si>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</si>
  <si>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</si>
  <si>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</si>
  <si>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</si>
  <si>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</si>
  <si>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</si>
  <si>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</si>
  <si>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</si>
  <si>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</si>
  <si>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</si>
  <si>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</si>
  <si>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</si>
  <si>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</si>
  <si>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</si>
  <si>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</si>
  <si>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</si>
  <si>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</si>
  <si>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</si>
  <si>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</si>
  <si>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</si>
  <si>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</si>
  <si>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</si>
  <si>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</si>
  <si>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</si>
  <si>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</si>
  <si>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</si>
  <si>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</si>
  <si>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</si>
  <si>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</si>
  <si>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</si>
  <si>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</si>
  <si>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</si>
  <si>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</si>
  <si>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</si>
  <si>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</si>
  <si>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</si>
  <si>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</si>
  <si>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</si>
  <si>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</si>
  <si>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</si>
  <si>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</si>
  <si>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</si>
  <si>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</si>
  <si>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</si>
  <si>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</si>
  <si>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</si>
  <si>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</si>
  <si>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</si>
  <si>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</si>
  <si>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</si>
  <si>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</si>
  <si>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</si>
  <si>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</si>
  <si>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</si>
  <si>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</si>
  <si>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</si>
  <si>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</si>
  <si>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</si>
  <si>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</si>
  <si>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</si>
  <si>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</si>
  <si>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</si>
  <si>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</si>
  <si>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</si>
  <si>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</si>
  <si>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</si>
  <si>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</si>
  <si>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</si>
  <si>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</si>
  <si>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</si>
  <si>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</si>
  <si>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</si>
  <si>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</si>
  <si>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</si>
  <si>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</si>
  <si>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</si>
  <si>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</si>
  <si>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</si>
  <si>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</si>
  <si>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</si>
  <si>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</si>
  <si>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</si>
  <si>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</si>
  <si>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</si>
  <si>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</si>
  <si>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</si>
  <si>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</si>
  <si>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</si>
  <si>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</si>
  <si>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</si>
  <si>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</si>
  <si>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</si>
  <si>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</si>
  <si>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</si>
  <si>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</si>
  <si>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</si>
  <si>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</si>
  <si>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</si>
  <si>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</si>
  <si>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</si>
  <si>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</si>
  <si>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</si>
  <si>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</si>
  <si>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</si>
  <si>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</si>
  <si>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</si>
  <si>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</si>
  <si>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</si>
  <si>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</si>
  <si>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</si>
  <si>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</si>
  <si>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</si>
  <si>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</si>
  <si>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</si>
  <si>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</si>
  <si>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</si>
  <si>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</si>
  <si>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</si>
  <si>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</si>
  <si>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</si>
  <si>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</si>
  <si>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</si>
  <si>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</si>
  <si>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</si>
  <si>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</si>
  <si>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</si>
  <si>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</si>
  <si>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</si>
  <si>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</si>
  <si>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</si>
  <si>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</si>
  <si>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</si>
  <si>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</si>
  <si>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</si>
  <si>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</si>
  <si>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</si>
  <si>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</si>
  <si>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</si>
  <si>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</si>
  <si>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</si>
  <si>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</si>
  <si>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</si>
  <si>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</si>
  <si>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</si>
  <si>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</si>
  <si>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</si>
  <si>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</si>
  <si>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</si>
  <si>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</si>
  <si>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</si>
  <si>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</si>
  <si>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</si>
  <si>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</si>
  <si>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</si>
  <si>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</si>
  <si>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</si>
  <si>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</si>
  <si>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</si>
  <si>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</si>
  <si>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</si>
  <si>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</si>
  <si>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</si>
  <si>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</si>
  <si>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</si>
  <si>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</si>
  <si>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</si>
  <si>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</si>
  <si>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</si>
  <si>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</si>
  <si>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</si>
  <si>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</si>
  <si>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</si>
  <si>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</si>
  <si>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</si>
  <si>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</si>
  <si>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</si>
  <si>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</si>
  <si>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</si>
  <si>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</si>
  <si>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</si>
  <si>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</si>
  <si>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</si>
  <si>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</si>
  <si>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</si>
  <si>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</si>
  <si>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</si>
  <si>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</si>
  <si>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</si>
  <si>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</si>
  <si>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</si>
  <si>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</si>
  <si>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</si>
  <si>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</si>
  <si>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</si>
  <si>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</si>
  <si>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</si>
  <si>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</si>
  <si>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</si>
  <si>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</si>
  <si>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</si>
  <si>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</si>
  <si>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</si>
  <si>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</si>
  <si>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</si>
  <si>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</si>
  <si>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</si>
  <si>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</si>
  <si>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</si>
  <si>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</si>
  <si>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</si>
  <si>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</si>
  <si>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</si>
  <si>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</si>
  <si>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</si>
  <si>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</si>
  <si>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</si>
  <si>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</si>
  <si>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</si>
  <si>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</si>
  <si>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</si>
  <si>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</si>
  <si>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</si>
  <si>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</si>
  <si>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</si>
  <si>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</si>
  <si>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</si>
  <si>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</si>
  <si>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</si>
  <si>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</si>
  <si>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</si>
  <si>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</si>
  <si>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</si>
  <si>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</si>
  <si>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</si>
  <si>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</si>
  <si>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</si>
  <si>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</si>
  <si>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</si>
  <si>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</si>
  <si>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</si>
  <si>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</si>
  <si>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</si>
  <si>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</si>
  <si>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</si>
  <si>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</si>
  <si>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</si>
  <si>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</si>
  <si>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</si>
  <si>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</si>
  <si>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</si>
  <si>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</si>
  <si>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</si>
  <si>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</si>
  <si>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</si>
  <si>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</si>
  <si>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</si>
  <si>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</si>
  <si>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</si>
  <si>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</si>
  <si>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</si>
  <si>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</si>
  <si>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</si>
  <si>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</si>
  <si>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</si>
  <si>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</si>
  <si>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</si>
  <si>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</si>
  <si>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</si>
  <si>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</si>
  <si>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</si>
  <si>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</si>
  <si>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</si>
  <si>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</si>
  <si>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</si>
  <si>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</si>
  <si>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</si>
  <si>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</si>
  <si>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</si>
  <si>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</si>
  <si>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</si>
  <si>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</si>
  <si>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</si>
  <si>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</si>
  <si>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</si>
  <si>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</si>
  <si>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</si>
  <si>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</si>
  <si>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</si>
  <si>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</si>
  <si>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</si>
  <si>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</si>
  <si>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</si>
  <si>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</si>
  <si>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</si>
  <si>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</si>
  <si>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</si>
  <si>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</si>
  <si>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</si>
  <si>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</si>
  <si>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</si>
  <si>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</si>
  <si>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</si>
  <si>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</si>
  <si>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</si>
  <si>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</si>
  <si>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</si>
  <si>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</si>
  <si>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</si>
  <si>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</si>
  <si>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</si>
  <si>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</si>
  <si>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</si>
  <si>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</si>
  <si>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</si>
  <si>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</si>
  <si>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</si>
  <si>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</si>
  <si>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</si>
  <si>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</si>
  <si>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</si>
  <si>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</si>
  <si>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</si>
  <si>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</si>
  <si>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</si>
  <si>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</si>
  <si>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</si>
  <si>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</si>
  <si>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</si>
  <si>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</si>
  <si>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</si>
  <si>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</si>
  <si>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</si>
  <si>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</si>
  <si>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</si>
  <si>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</si>
  <si>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</si>
  <si>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</si>
  <si>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</si>
  <si>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</si>
  <si>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</si>
  <si>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</si>
  <si>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</si>
  <si>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</si>
  <si>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</si>
  <si>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</si>
  <si>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</si>
  <si>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</si>
  <si>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</si>
  <si>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</si>
  <si>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</si>
  <si>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</si>
  <si>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</si>
  <si>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</si>
  <si>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</si>
  <si>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</si>
  <si>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</si>
  <si>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</si>
  <si>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</si>
  <si>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</si>
  <si>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</si>
  <si>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</si>
  <si>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</si>
  <si>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</si>
  <si>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</si>
  <si>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</si>
  <si>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</si>
  <si>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</si>
  <si>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</si>
  <si>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</si>
  <si>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</si>
  <si>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</si>
  <si>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</si>
  <si>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</si>
  <si>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</si>
  <si>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</si>
  <si>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</si>
  <si>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</si>
  <si>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</si>
  <si>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</si>
  <si>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</si>
  <si>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</si>
  <si>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</si>
  <si>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</si>
  <si>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</si>
  <si>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</si>
  <si>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</si>
  <si>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</si>
  <si>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</si>
  <si>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</si>
  <si>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</si>
  <si>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</si>
  <si>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</si>
  <si>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</si>
  <si>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</si>
  <si>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</si>
  <si>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</si>
  <si>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</si>
  <si>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</si>
  <si>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</si>
  <si>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</si>
  <si>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</si>
  <si>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</si>
  <si>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</si>
  <si>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</si>
  <si>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</si>
  <si>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</si>
  <si>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</si>
  <si>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</si>
  <si>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</si>
  <si>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</si>
  <si>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</si>
  <si>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</si>
  <si>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</si>
  <si>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</si>
  <si>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</si>
  <si>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</si>
  <si>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</si>
  <si>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</si>
  <si>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</si>
  <si>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</si>
  <si>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</si>
  <si>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</si>
  <si>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</si>
  <si>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</si>
  <si>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</si>
  <si>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</si>
  <si>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</si>
  <si>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</si>
  <si>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</si>
  <si>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</si>
  <si>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</si>
  <si>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</si>
  <si>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</si>
  <si>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</si>
  <si>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</si>
  <si>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</si>
  <si>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</si>
  <si>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</si>
  <si>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</si>
  <si>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</si>
  <si>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</si>
  <si>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</si>
  <si>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</si>
  <si>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</si>
  <si>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</si>
  <si>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</si>
  <si>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</si>
  <si>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</si>
  <si>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</si>
  <si>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</si>
  <si>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</si>
  <si>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</si>
  <si>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</si>
  <si>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</si>
  <si>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</si>
  <si>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</si>
  <si>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</si>
  <si>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</si>
  <si>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</si>
  <si>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</si>
  <si>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</si>
  <si>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</si>
  <si>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</si>
  <si>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</si>
  <si>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</si>
  <si>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</si>
  <si>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</si>
  <si>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</si>
  <si>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</si>
  <si>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</si>
  <si>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</si>
  <si>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</si>
  <si>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</si>
  <si>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</si>
  <si>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</si>
  <si>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</si>
  <si>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</si>
  <si>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</si>
  <si>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</si>
  <si>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</si>
  <si>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</si>
  <si>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</si>
  <si>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</si>
  <si>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</si>
  <si>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</si>
  <si>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</si>
  <si>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</si>
  <si>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</si>
  <si>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</si>
  <si>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</si>
  <si>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</si>
  <si>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</si>
  <si>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</si>
  <si>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</si>
  <si>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</si>
  <si>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</si>
  <si>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</si>
  <si>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</si>
  <si>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</si>
  <si>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</si>
  <si>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</si>
  <si>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</si>
  <si>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</si>
  <si>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</si>
  <si>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</si>
  <si>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</si>
  <si>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</si>
  <si>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</si>
  <si>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</si>
  <si>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</si>
  <si>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</si>
  <si>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</si>
  <si>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</si>
  <si>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</si>
  <si>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</si>
  <si>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</si>
  <si>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</si>
  <si>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</si>
  <si>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</si>
  <si>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</si>
  <si>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</si>
  <si>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</si>
  <si>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</si>
  <si>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</si>
  <si>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</si>
  <si>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</si>
  <si>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</si>
  <si>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</si>
  <si>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</si>
  <si>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</si>
  <si>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</si>
  <si>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</si>
  <si>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</si>
  <si>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</si>
  <si>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</si>
  <si>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</si>
  <si>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</si>
  <si>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</si>
  <si>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</si>
  <si>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</si>
  <si>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</si>
  <si>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</si>
  <si>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</si>
  <si>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</si>
  <si>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</si>
  <si>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</si>
  <si>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</si>
  <si>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</si>
  <si>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</si>
  <si>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</si>
  <si>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</si>
  <si>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</si>
  <si>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</si>
  <si>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</si>
  <si>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</si>
  <si>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</si>
  <si>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</si>
  <si>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</si>
  <si>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</si>
  <si>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</si>
  <si>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</si>
  <si>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</si>
  <si>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</si>
  <si>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</si>
  <si>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</si>
  <si>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</si>
  <si>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</si>
  <si>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</si>
  <si>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</si>
  <si>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</si>
  <si>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</si>
  <si>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</si>
  <si>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</si>
  <si>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</si>
  <si>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</si>
  <si>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</si>
  <si>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</si>
  <si>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</si>
  <si>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</si>
  <si>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</si>
  <si>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</si>
  <si>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</si>
  <si>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</si>
  <si>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</si>
  <si>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</si>
  <si>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</si>
  <si>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</si>
  <si>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</si>
  <si>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</si>
  <si>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</si>
  <si>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</si>
  <si>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</si>
  <si>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</si>
  <si>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</si>
  <si>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</si>
  <si>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</si>
  <si>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</si>
  <si>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</si>
  <si>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</si>
  <si>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</si>
  <si>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</si>
  <si>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</si>
  <si>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</si>
  <si>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</si>
  <si>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</si>
  <si>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</si>
  <si>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</si>
  <si>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</si>
  <si>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</si>
  <si>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</si>
  <si>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</si>
  <si>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</si>
  <si>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</si>
  <si>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</si>
  <si>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</si>
  <si>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</si>
  <si>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</si>
  <si>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</si>
  <si>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</si>
  <si>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</si>
  <si>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</si>
  <si>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</si>
  <si>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</si>
  <si>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</si>
  <si>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</si>
  <si>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</si>
  <si>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</si>
  <si>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</si>
  <si>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</si>
  <si>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</si>
  <si>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</si>
  <si>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</si>
  <si>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</si>
  <si>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</si>
  <si>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</si>
  <si>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</si>
  <si>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</si>
  <si>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</si>
  <si>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</si>
  <si>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</si>
  <si>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</si>
  <si>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</si>
  <si>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</si>
  <si>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</si>
  <si>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</si>
  <si>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</si>
  <si>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</si>
  <si>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</si>
  <si>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</si>
  <si>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</si>
  <si>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</si>
  <si>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</si>
  <si>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</si>
  <si>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</si>
  <si>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</si>
  <si>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</si>
  <si>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</si>
  <si>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</si>
  <si>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</si>
  <si>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</si>
  <si>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</si>
  <si>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</si>
  <si>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</si>
  <si>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</si>
  <si>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</si>
  <si>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</si>
  <si>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</si>
  <si>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</si>
  <si>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</si>
  <si>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</si>
  <si>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</si>
  <si>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</si>
  <si>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</si>
  <si>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</si>
  <si>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</si>
  <si>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</si>
  <si>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</si>
  <si>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</si>
  <si>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</si>
  <si>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</si>
  <si>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</si>
  <si>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</si>
  <si>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</si>
  <si>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</si>
  <si>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</si>
  <si>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</si>
  <si>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</si>
  <si>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</si>
  <si>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</si>
  <si>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</si>
  <si>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</si>
  <si>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</si>
  <si>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</si>
  <si>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</si>
  <si>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</si>
  <si>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</si>
  <si>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</si>
  <si>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</si>
  <si>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</si>
  <si>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</si>
  <si>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</si>
  <si>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</si>
  <si>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</si>
  <si>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</si>
  <si>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</si>
  <si>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</si>
  <si>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</si>
  <si>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</si>
  <si>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</si>
  <si>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</si>
  <si>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</si>
  <si>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</si>
  <si>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</si>
  <si>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</si>
  <si>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</si>
  <si>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</si>
  <si>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</si>
  <si>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</si>
  <si>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</si>
  <si>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</si>
  <si>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</si>
  <si>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</si>
  <si>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</si>
  <si>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</si>
  <si>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</si>
  <si>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</si>
  <si>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</si>
  <si>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</si>
  <si>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</si>
  <si>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</si>
  <si>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</si>
  <si>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</si>
  <si>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</si>
  <si>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</si>
  <si>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</si>
  <si>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</si>
  <si>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</si>
  <si>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</si>
  <si>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</si>
  <si>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</si>
  <si>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</si>
  <si>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</si>
  <si>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</si>
  <si>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</si>
  <si>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</si>
  <si>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</si>
  <si>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</si>
  <si>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</si>
  <si>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</si>
  <si>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</si>
  <si>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</si>
  <si>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</si>
  <si>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</si>
  <si>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</si>
  <si>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</si>
  <si>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</si>
  <si>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</si>
  <si>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</si>
  <si>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</si>
  <si>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</si>
  <si>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</si>
  <si>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</si>
  <si>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</si>
  <si>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</si>
  <si>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</si>
  <si>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</si>
  <si>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</si>
  <si>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</si>
  <si>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</si>
  <si>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</si>
  <si>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</si>
  <si>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</si>
  <si>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</si>
  <si>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</si>
  <si>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</si>
  <si>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</si>
  <si>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</si>
  <si>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</si>
  <si>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</si>
  <si>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</si>
  <si>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</si>
  <si>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</si>
  <si>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</si>
  <si>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</si>
  <si>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</si>
  <si>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</si>
  <si>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</si>
  <si>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</si>
  <si>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</si>
  <si>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</si>
  <si>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</si>
  <si>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</si>
  <si>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</si>
  <si>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</si>
  <si>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</si>
  <si>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</si>
  <si>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</si>
  <si>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</si>
  <si>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</si>
  <si>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</si>
  <si>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</si>
  <si>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</si>
  <si>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</si>
  <si>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</si>
  <si>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</si>
  <si>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</si>
  <si>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</si>
  <si>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</si>
  <si>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</si>
  <si>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</si>
  <si>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</si>
  <si>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</si>
  <si>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</si>
  <si>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</si>
  <si>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</si>
  <si>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</si>
  <si>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</si>
  <si>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</si>
  <si>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</si>
  <si>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</si>
  <si>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</si>
  <si>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</si>
  <si>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</si>
  <si>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</si>
  <si>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</si>
  <si>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</si>
  <si>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</si>
  <si>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</si>
  <si>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</si>
  <si>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</si>
  <si>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</si>
  <si>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</si>
  <si>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</si>
  <si>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</si>
  <si>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</si>
  <si>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</si>
  <si>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</si>
  <si>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</si>
  <si>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</si>
  <si>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</si>
  <si>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</si>
  <si>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</si>
  <si>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</si>
  <si>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</si>
  <si>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</si>
  <si>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</si>
  <si>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</si>
  <si>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</si>
  <si>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</si>
  <si>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</si>
  <si>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</si>
  <si>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</si>
  <si>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</si>
  <si>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</si>
  <si>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</si>
  <si>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</si>
  <si>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</si>
  <si>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</si>
  <si>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</si>
  <si>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</si>
  <si>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</si>
  <si>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</si>
  <si>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</si>
  <si>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Programa</t>
  </si>
  <si>
    <t>Avances y Logros</t>
  </si>
  <si>
    <t>Beneficios</t>
  </si>
  <si>
    <t>Total Vigencia</t>
  </si>
  <si>
    <t>Retrasos y soluciones</t>
  </si>
  <si>
    <t>Fecha de seguimiento</t>
  </si>
  <si>
    <t>IDU</t>
  </si>
  <si>
    <t>UAERMV</t>
  </si>
  <si>
    <t>Transporte Público</t>
  </si>
  <si>
    <t xml:space="preserve">Infraestructura Vial </t>
  </si>
  <si>
    <t>Plan de Seguridad Vial</t>
  </si>
  <si>
    <t xml:space="preserve">Componente </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</si>
  <si>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</si>
  <si>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</si>
  <si>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</si>
  <si>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</si>
  <si>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</si>
  <si>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</si>
  <si>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</si>
  <si>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</si>
  <si>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</si>
  <si>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</si>
  <si>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</si>
  <si>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</si>
  <si>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</si>
  <si>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</si>
  <si>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</si>
  <si>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</si>
  <si>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</si>
  <si>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</si>
  <si>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</si>
  <si>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</si>
  <si>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</si>
  <si>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</si>
  <si>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</si>
  <si>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</si>
  <si>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</si>
  <si>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</si>
  <si>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</si>
  <si>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</si>
  <si>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</si>
  <si>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</si>
  <si>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</si>
  <si>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</si>
  <si>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</si>
  <si>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</si>
  <si>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PROCESO DE PLANEACIÓN DE TRANSPORTE E INFRAESTRUCTURA</t>
  </si>
  <si>
    <t>Código: PM01-PR05-F01</t>
  </si>
  <si>
    <t>SISTEMA INTEGRADO DE GESTIÓN BAJO EL ESTÁNDAR MIPG</t>
  </si>
  <si>
    <t>Pendiente</t>
  </si>
  <si>
    <t>Ejecutado 2020</t>
  </si>
  <si>
    <t>Meta Plan de Desarrollo</t>
  </si>
  <si>
    <t>Nombre y Código del Indicador Meta PDD</t>
  </si>
  <si>
    <t>2020-2024</t>
  </si>
  <si>
    <t>374  aumentar en 20% la oferta de tansporte público del SITP</t>
  </si>
  <si>
    <t>Buses/sillas del SITP</t>
  </si>
  <si>
    <t>401_Buses/sillas del SITP</t>
  </si>
  <si>
    <t>402_ Puntos poncentuales la confiabilidad del servicio del SITP</t>
  </si>
  <si>
    <t>375 aumentar en 4 puntos porcentuales la confiabilidad del servicio del SITP en sus componentes troncal y zonal</t>
  </si>
  <si>
    <t>377 Conservar 190 km de cicloinfraestructura</t>
  </si>
  <si>
    <t>404 kilometros de cicloruta conservados</t>
  </si>
  <si>
    <t xml:space="preserve">405  Kilómetros de malla vial </t>
  </si>
  <si>
    <t>378  Realizar actividades de conservación a 2308 km carril de malla vial</t>
  </si>
  <si>
    <t>Kilómentros de malla vial</t>
  </si>
  <si>
    <t>414 Estrategia implementada para la calidad del Transporte público urbano regional</t>
  </si>
  <si>
    <t>387  Formular e implementar una estrategia integral para mejorar la calidad del transporte público urbano regional</t>
  </si>
  <si>
    <t>423  Patios diseñados y contratada su construcción</t>
  </si>
  <si>
    <t>396  Diseñar y contratar la construcción de 6 patios troncales y zonales del SITP</t>
  </si>
  <si>
    <t>420 Estaciones mejoradas</t>
  </si>
  <si>
    <t>393  Mejoramiento de 43 estaciones del sistema Transmilenio</t>
  </si>
  <si>
    <t>Estaciones Mejoradas</t>
  </si>
  <si>
    <t>424 Ejecución de obras en kilómetros de corredores de transporte masivo</t>
  </si>
  <si>
    <t>397 Ejecutar las obras para la adecuación de 29,6 km de corredores de transporte masivo</t>
  </si>
  <si>
    <t>Kilómetros de corredores de transporte masivo</t>
  </si>
  <si>
    <t>Estrategia implementada</t>
  </si>
  <si>
    <t>425 Ejecución de obras en kilómetros de corredor verde de la carrera séptima</t>
  </si>
  <si>
    <t>398 Ejecutar las obras para la adecuación de 20 km del corredor verde de la carrera séptima</t>
  </si>
  <si>
    <t>Kilómetros del corredor verde de la cra séptima</t>
  </si>
  <si>
    <t>408 Kilometros de malla vial construidos</t>
  </si>
  <si>
    <t>381 Construir 280 km de cicloinfraestructura</t>
  </si>
  <si>
    <t>Kilómetros de  cicloruta consevados</t>
  </si>
  <si>
    <t>Kilómetros de  cicloruta construidos</t>
  </si>
  <si>
    <t>373 _1.Reducir en 20% el número de víctimas fatales por siniestros viales para cada uno de los actores viales de la vía
2. Reducir el 20% el número de jóvenes (entre  14 y 28 años) fallecidos por siniestros viales</t>
  </si>
  <si>
    <t>403 Cables aéreos implementados y estructruados  (se mide solo estructurados)</t>
  </si>
  <si>
    <t>376 Avanzar en un 60% en la construcción del cable aéreo de San Cristóbal y el 100% de la estructuración de otros 2 cables</t>
  </si>
  <si>
    <t>Cables aéreos</t>
  </si>
  <si>
    <t>Puentes vehículares</t>
  </si>
  <si>
    <t>421 Diseños y construcción de la estación central del sistema Transmilenio</t>
  </si>
  <si>
    <t>400 Numero de personas y jóvenes fallecidos por siniestros viales (porcentaje de reducción de fallecimientos por siniestros viales)</t>
  </si>
  <si>
    <t>383   Definir e implementar dos estrategias de cultura ciudadana para el sistema de movilidad, con enfoque diferencial, de género y territorial.</t>
  </si>
  <si>
    <t>410  Estrategias de cultura ciudadana implementadas</t>
  </si>
  <si>
    <t>Número de estrategias  implementadas</t>
  </si>
  <si>
    <t>Puntos poncentuales la confiabilidad del servicio del SITP</t>
  </si>
  <si>
    <t>380  Construir 146 km de malla vial. En esta construcción se contrará con un 35% de mano de obra de la localidad donde se ejecute el proyecto</t>
  </si>
  <si>
    <t>407 Kilómetros de malla vial</t>
  </si>
  <si>
    <t>kilómetros de malla vial</t>
  </si>
  <si>
    <t xml:space="preserve">409 Puentes vehículare (construir puentes vehículares o interseccionales a desnivel) </t>
  </si>
  <si>
    <t>382   Construir o reforzar 29 puentes vehículares e intersecciones a desnivel</t>
  </si>
  <si>
    <t>411  Instrumento implementado para la medición y seguimiento de la experiencia del usuario y del prestador del servicio de taxis</t>
  </si>
  <si>
    <t>384 Definir e implementar un instrumento para la medición y seguimiento de la experiencia del usuario y del prestador del servicio en el transporte público individual</t>
  </si>
  <si>
    <t>Instrumento de medición</t>
  </si>
  <si>
    <t>385  Diseñar, gestionar e implementar una estrategia para aumentar la ocupación promedio del vehículo</t>
  </si>
  <si>
    <t>412  Estrategia de aumento de ocupación de vehículos privados</t>
  </si>
  <si>
    <t>Estrategia de ocupación de vehículos privados implementada</t>
  </si>
  <si>
    <t>386 Disminuir en un 10% el tiempo promedio en minutos, de acceso al Transporte Público</t>
  </si>
  <si>
    <t>413 Tiempo promedio en minutos de acceso al Transporte Público (tiempo de caminata y tiempo de espera) para SITP provisional, Zonal y Troncal en la primera etapa para los hogares ubicados en Bogotá</t>
  </si>
  <si>
    <t>Tiempo promedio en minutos de acceso al Transporte público</t>
  </si>
  <si>
    <t>388 Implementar 5000 cupos de cicloparqueaderos</t>
  </si>
  <si>
    <t>415  Número de cupos de cicloparqueaderos</t>
  </si>
  <si>
    <t>Número de cupos de cicloparqueaderos</t>
  </si>
  <si>
    <t>389  Implementar y operar el Centro de Orientación de Víctimas por Siniestros Viales</t>
  </si>
  <si>
    <t>416  Centro de Orientación de víctimas por siniestros  viales implementados</t>
  </si>
  <si>
    <t>Porcentaje de reduccción de víctimas fatales por siniestros viales</t>
  </si>
  <si>
    <t>Centro de Orientación de Víctimas implementado</t>
  </si>
  <si>
    <t>390  Mantener el tiempo promedio de viaje en los 14 corredores principales de la ciudad para todos los usuarios de la vía</t>
  </si>
  <si>
    <t>417  Tiempo promedio de viaje en los 14 corredores principales de la ciudad</t>
  </si>
  <si>
    <t>Tiempo promedio de viaje</t>
  </si>
  <si>
    <t>392 Conservar 360km- carril de malla vial local</t>
  </si>
  <si>
    <t>419 kilómetros carril de malla vial troncal conservados</t>
  </si>
  <si>
    <t>Kilómetros carril de malla vial troncal conservados</t>
  </si>
  <si>
    <t>395 Mantenimiento del 100% de las estaciones del Sistema Transmilenio</t>
  </si>
  <si>
    <t>422 Estaciones mantenidas</t>
  </si>
  <si>
    <t>Estaciones Mantenidas</t>
  </si>
  <si>
    <t>399 Reducir en 2 puntos porcentuales la evasión en el SITP</t>
  </si>
  <si>
    <t>426 Reducir en 2 puntos porcentuales la evasi´pn en el componente troncal y zonal del SITP</t>
  </si>
  <si>
    <t>Reducción en 2 puntos  porcentuales la evasión en el SITP</t>
  </si>
  <si>
    <t>METRO</t>
  </si>
  <si>
    <t>394  Diseñar y contratar la costrucción de la estación central de transmilenio</t>
  </si>
  <si>
    <t>Diseño y construcción de la estación central de TMSA</t>
  </si>
  <si>
    <t>Propósito</t>
  </si>
  <si>
    <t>49_  Movilidad segura, sostenible y accesible</t>
  </si>
  <si>
    <t xml:space="preserve">Transporte no motorizado </t>
  </si>
  <si>
    <t>Logística de Movilidad</t>
  </si>
  <si>
    <t>1_Subsidios y transferencias para la equidad</t>
  </si>
  <si>
    <t>1_Fuentes de  fondeo para el sector Movilidad</t>
  </si>
  <si>
    <t>1   Diseñar e implementar 4 fuentes de Fondeo para el SITP y el Sector Movilidad</t>
  </si>
  <si>
    <t>Fuentes de fondeo implementadas</t>
  </si>
  <si>
    <t>281_Viajes en bicicleta (porcentaje de viajes en bicicleta aumentado)</t>
  </si>
  <si>
    <t>35_Manejo y prevención de contaminación</t>
  </si>
  <si>
    <t>Viajes en bicicleta aumentados</t>
  </si>
  <si>
    <t>282_Vehículos de cero y bajas emisiones en el parque automotor de Bogotá, y puntos públicos de carga rápida</t>
  </si>
  <si>
    <t>264_Aumentar en 50% los viajes en bicicleta a través de la implementación de la política pública</t>
  </si>
  <si>
    <t>Vehículos de cero y bajas emisiones aumentados</t>
  </si>
  <si>
    <t>284_Porcentaje de implementación de la estrategia de fomento de la micromovilidad (esquema de transporte alternativo impulsado)</t>
  </si>
  <si>
    <t>267_Impulsar un esquema de transporte alternativo y ambientalmente sostenible mediante el fomento de la
micromovilidad a través del uso de patinetas y bicicletas eléctricas como un medio de transporte que usa
adecuadamente el espacio público y facilita la interconexión con el sistema masivo de servicio público</t>
  </si>
  <si>
    <t>Esquema de transporte alternativo impulsado</t>
  </si>
  <si>
    <t>271_Reducir en el 10% como promedio ponderado ciudad, la concentración de material particulado PM10 y
PM2.5, mediante la implementación del Plan de Gestión Integral de Calidad de Aire (aporte de movilidad a
meta del sector ambiente)</t>
  </si>
  <si>
    <t>283_Porcentaje de avance en la implementación de un sistema de bicicletas públicas (sistema de bicicletas públicas implementado)</t>
  </si>
  <si>
    <t>Logistica de Movilidad</t>
  </si>
  <si>
    <t xml:space="preserve">49_Movilidad </t>
  </si>
  <si>
    <t>379_Consolidar y reforzar el programa de movilidad Niños y Niñas Primero con el fin de aumentar el número de
beneficiados y facilitar el acceso a la educación de niñas, niños y adolescentes</t>
  </si>
  <si>
    <t>Programa de movilidad de niños y niñas consolidado y reforzado</t>
  </si>
  <si>
    <t>406_Niños y niñas beneficiados con el programa</t>
  </si>
  <si>
    <t xml:space="preserve">IDU
</t>
  </si>
  <si>
    <t>Actividades a cargo de TMSA adelantadas para ejecutar las obras para la adecuación de 29.6 km de corredores de transporte masivo
Actividades a cargo de TMSA adelantadas para ejecutar las obras para la adecuación de 20 Km del corredor verde de la carrera séptima</t>
  </si>
  <si>
    <t>Actividades a cargo de TMSA adelantadas para ejecutar las obras para la adecuación de 29.6 km de corredores de transporte masivo</t>
  </si>
  <si>
    <t xml:space="preserve">Patios diseñados </t>
  </si>
  <si>
    <t xml:space="preserve"> IDU</t>
  </si>
  <si>
    <t>Actividades a cargo de TMSA adelantadas para Diseñar y contratar la construcción de 6 patios troncales y zonales del SITP</t>
  </si>
  <si>
    <t>Actividades a cargo de TMSA adelantadas para el mejoramiento de 43 estaciones del sistema TransMilenio</t>
  </si>
  <si>
    <t>Actividades a cargo de TMSA adelantadas para diseñar y contratar la construcción de la estación central del Sistema TransMilenio</t>
  </si>
  <si>
    <t>Programas</t>
  </si>
  <si>
    <t>Propósitos</t>
  </si>
  <si>
    <t>1: Hacer un nuevo contrato social con igualdad de oportunidades para la inclusión social, productiva y política/  2: Cambiar nuestros hábitos de vida para reverdecer a Bogotá y adaptarnos y mitigar la crisis climática/ 4: Hacer de Bogotá Región un modelo de movilidad multimodal, incluyente y sostenible</t>
  </si>
  <si>
    <t>4_Hacer de Bogotá Región un modelo de movilidad multimodal, incluyente y sostenible</t>
  </si>
  <si>
    <t>1_Hacer un nuevo contrato social con igualdad de oportunidades para la inclusión social, productiva y política</t>
  </si>
  <si>
    <t>2_Cambiar nuestros hábitos de vida para reverdecer a Bogotá y adaptarnos y mitigar la crisis climática</t>
  </si>
  <si>
    <t>400_Alcanzar el 100% del proceso de contratación para la expansión de la PLMB-Fase 2</t>
  </si>
  <si>
    <t>50_Red de metros</t>
  </si>
  <si>
    <t>Proceso de contratación para la expansión de la PLMB-Fase 2 culminado</t>
  </si>
  <si>
    <t>Avance en el ciclo del proyecto PLMB-Tramo 1</t>
  </si>
  <si>
    <t>427_Proceso de contratación para la expansión de la PLMB - Fase 2 culminado</t>
  </si>
  <si>
    <t>428_Avance en el ciclo del proyecto PLMB - Tramo 1</t>
  </si>
  <si>
    <t>1: Subsidios y Transferencias para la equidad/  35: Manejo y prevención de la Contaminación/ 49:  Movilidad segura, sostenible y accesible/ 50: Red de Metros</t>
  </si>
  <si>
    <t>Transporte público</t>
  </si>
  <si>
    <t>Componentre ambiental</t>
  </si>
  <si>
    <t>Componente ambiental</t>
  </si>
  <si>
    <t>SDM- SDA (Entidad que reporta el avance)</t>
  </si>
  <si>
    <t>627_Acciones de seguimiento a la implementación del SITP</t>
  </si>
  <si>
    <t>Acciones de seguimiento a la implementación del SITP</t>
  </si>
  <si>
    <t>628_Acciones de seguimiento a los proyectos de infraestructura vial y equipamientos de transporte del sistema de movilidad</t>
  </si>
  <si>
    <t>Acciones de seguimiento a los proyectos de infraestructura vial y equipamientos de transporte del sistema de movilidad</t>
  </si>
  <si>
    <t>637_Construir el 60% de 1 cable aéreo</t>
  </si>
  <si>
    <t>Construir el 60% de 1 cable aéreo</t>
  </si>
  <si>
    <t>Reforzar puentes vehiculares</t>
  </si>
  <si>
    <t>639_Reforzar puentes vehiculares</t>
  </si>
  <si>
    <t>630_Actividades a cargo de TMSA adelantadas para Diseñar y contratar la construcción de 6 patios troncales y zonales del SITP</t>
  </si>
  <si>
    <t>640_Patios troncales y zonales del SITP con su construcción</t>
  </si>
  <si>
    <t>Patios troncales y zonales del SITP con su construcción</t>
  </si>
  <si>
    <t>SUma</t>
  </si>
  <si>
    <t>631_Actividades a cargo de TMSA adelantadas para ejecutar las obras para la adecuación de 29.6 km de corredores de transporte masivo</t>
  </si>
  <si>
    <t>632_Actividades a cargo de TMSA adelantadas para ejecutar las obras para la adecuación de 20 Km del corredor verde de la carrera séptima</t>
  </si>
  <si>
    <t>629 Porcentaje de avance anual en las actividades a cargo de TMSA para el mejoramiento de 43 estaciones del
sistema Transmilenio</t>
  </si>
  <si>
    <t>633 Porcentaje de avance anual en las actividades a cargo de TMSA para diseñar y contratar la construcción
de la estación central del Sistema Transmilenio</t>
  </si>
  <si>
    <t>651_Porcentaje de gasto en transporte público de hogares estrato 2</t>
  </si>
  <si>
    <t>Reducción del gasto en transporte público estrato1</t>
  </si>
  <si>
    <t>Reducción del gasto en transporte público estrato2</t>
  </si>
  <si>
    <t>401_Alcanzar el 60 % del ciclo de vida del proyecto PLMB - Tramo 1
LB 19,44</t>
  </si>
  <si>
    <t>265_Generar las condiciones para aumentar a 6.500 los vehículos de cero y bajas emisiones en el parque
automotor de Bogotá, incluyendo la implementación de 20 puntos públicos de carga rápida
LB 2.112</t>
  </si>
  <si>
    <t>Ejecutado 2021</t>
  </si>
  <si>
    <t>No presenta retrasos</t>
  </si>
  <si>
    <t>Número de puntos públicos de carga rápida implementados</t>
  </si>
  <si>
    <t>Porcentaje de avance en la implementación de un sistema de bicicletas públicas</t>
  </si>
  <si>
    <t>6_Reducir el gasto en transporte público de los hogares de mayor vulnerabilidad económica, con enfoque poblacional, diferencial y de género, para que represente el 15% de sus ingresos</t>
  </si>
  <si>
    <t>6_ Porcentaje de gasto en transporte público de hogares estrato 1</t>
  </si>
  <si>
    <t>642_Número de puntos públicos de carga rápida implementados</t>
  </si>
  <si>
    <t>Concentración promedio ponderado de ciudad de material particulado PM 10</t>
  </si>
  <si>
    <t>Concentración promedio ponderado de ciudad de material particulado PM 2,5</t>
  </si>
  <si>
    <t>682 - Porcentaje de avance en la ejecución física de la construcción del proyecto Avenida 68 alimentadora de la PLMB</t>
  </si>
  <si>
    <t>Porcentaje de ejecucion física ejecutado</t>
  </si>
  <si>
    <t>683 - Porcentaje de avance en la ejecución física del proyecto de la extension del tramo 1 de la troncal de Transmilenio por la Avenida Caracas</t>
  </si>
  <si>
    <t>684 -Porcentaje de avance en la ejecución física del proyecto de la troncal de Transmilenio por la Avenida Ciudad de Cali</t>
  </si>
  <si>
    <t>Porcentaje de avance en la estructuración, implementación y operación del estacionamiento en vía para la ciudad de Bogotá</t>
  </si>
  <si>
    <t>266_Gestionar la implementación de un sistema de bicicletas públicas</t>
  </si>
  <si>
    <t xml:space="preserve">Número de jóvenes fallecidos por siniestros viales en jóvenes entre 14 y 28 años
</t>
  </si>
  <si>
    <t>Porcentaje de estructuración del proyecto de la Avenida Centenario entre la Crrera 50 y el límite del Distrito, como parte del borde occidental</t>
  </si>
  <si>
    <t>677_Porcentaje de estructuración del proyecto de la Avenida Centenario entre la Crrera 50 y el límite del Distrito, como parte del borde occidental</t>
  </si>
  <si>
    <t>680 - Número de cupos de cicloparquederos gestionados en infraestructura pública</t>
  </si>
  <si>
    <t>Número de cupos de cicloparquederos gestionados en infraestructura pública</t>
  </si>
  <si>
    <t>Porcentaje de avance de las acciones para aumentar el número de cupos de cicloparqueaderos en infraestructura privada</t>
  </si>
  <si>
    <t>681 - Porcentaje de avance de las acciones para aumentar el número de cupos de cicloparqueaderos en infraestructura privada</t>
  </si>
  <si>
    <t>676_Porcentaje de avance en la estructuración, implementación y operación del estacionamiento en vía para la ciudad de Bogotá</t>
  </si>
  <si>
    <t>663_Concentración promedio ponderado de ciudad de material particulado PM 10
Concentración promedio ponderado de ciudad de material particulado PM 2,5</t>
  </si>
  <si>
    <t>288_Concentración promedio ponderado de ciudad de material particulado PM 10</t>
  </si>
  <si>
    <t>643_Número de jóvenes fallecidos por siniestros viales en jóvenes entre 14 y 28 años</t>
  </si>
  <si>
    <t xml:space="preserve">
Programado 2021
</t>
  </si>
  <si>
    <t>Ejecutado 2022</t>
  </si>
  <si>
    <t xml:space="preserve">
Programado 2022
</t>
  </si>
  <si>
    <t>No se presentan retrasos.</t>
  </si>
  <si>
    <t>No se reportan retrasos.</t>
  </si>
  <si>
    <t>No se presentan retraso.</t>
  </si>
  <si>
    <t xml:space="preserve">No se presentan retrasos en la meta.
</t>
  </si>
  <si>
    <t>La meta no presenta retrasos.</t>
  </si>
  <si>
    <t>No se reportan retrasos en el cumplimiento de la meta</t>
  </si>
  <si>
    <t xml:space="preserve">No se presentan retrasos. </t>
  </si>
  <si>
    <t>Mediante el Sistema de Bicicletas Compartidas se espera generar nuevos viajes diarios en bicicleta, beneficiando no sólo a los usuarios del mismo, sino también contribuyendo en el descongestionamiento del Sistema de Transporte Público, y a su vez reduciendo las emisiones de CO2 debido al cambio de modos motorizados que incentiva este sistema.
 En el mediano / largo plazo, estos sistemas incentivan que nuevos ciudadanos se vuelvan bici usuarios y cambien su modo de transporte motorizado actual no sólo por el Sistema de Bicicletas Compartidas per-se, sino también por su propia bicicleta mecánica o eléctrica.</t>
  </si>
  <si>
    <t>No se han presentado retrasos</t>
  </si>
  <si>
    <t>La meta no presenta retrasos</t>
  </si>
  <si>
    <t>Periodicidad quinquenal</t>
  </si>
  <si>
    <t>PLAN DE DESARROLLO:    UN NUEVO CONTRATO SOCIAL Y AMBIENTAL PARA LA BOGOTÁ DEL SIGLO XXI</t>
  </si>
  <si>
    <t>PLAN MAESTRO DE MOVILIDAD</t>
  </si>
  <si>
    <t>AVANCE CUALITATIVO</t>
  </si>
  <si>
    <t xml:space="preserve">
PRESUPUESTO (Millones de pesos)</t>
  </si>
  <si>
    <t xml:space="preserve">
Programado 2020
</t>
  </si>
  <si>
    <t>AVANCE TRIMESTRAL (Magnitud)</t>
  </si>
  <si>
    <t>Aún cuando desde la Secretaria Distrital de Movilidad se implementan mecanismos internos para medición de variables socioeconómicas, la fuente de información estalecida para los indicadores de gasto para los estratos I y II es la Encuesta de Movilidad del año 2019, la cual se genera cada 4 años, razón
por la cual se mantiene para la presente vigencia la linea base establecida en dicha encuesta de movilidad año 2019.</t>
  </si>
  <si>
    <t>La Estación Central será el mayor centro de intercambio modal del componente troncal del SITP, donde confluyen la Primera Línea de Metro, Regiotram y dos corredores troncales de TransMilenio.</t>
  </si>
  <si>
    <t>Durante las vigencias 2020 y 2021 se logró mantener el tiempo promedio de viaje por debajo de los 50 minutos; a diciembre de 2020 se logró un tiempo de 43,85 minutos y a diciembre de 2021 un tiempo de 45.6 minutos
Lo anterior, gracias a las diversas acciones adelantadas como la disponibilidad del sistema de semaforización por encima del 99%, inspecciones de seguridad vial, 45 planes éxodo, implementación de agentes civiles de tránsito, seguimiento a planes de manejo de tránsito, inicio del proyecto de Gerencia en
Vía, implementación de pilotos en los corredores de la Av. Boyacá, calle 26, Av Primera de Mayo, Av. Américas, Carrera 7, Calle 80, Carrera 68 y Av. Ciudad de Cali, se continuó con las labores para mejorar la circulación de ciclistas en el corredor de calle 13 y para los demás corredores continuó con el
equipo de gerencia en vía.
En lo que respecta a la vigencia 2022, y considerando medidas como el Pico y Placa y las dinámicas de salida y retorno de usuarios de las vías, inicialmente se tuvo una reducción en el tiempo promedio de viaje del orden 46,49 minutos, sin embargo, con el retorno de las actividades académicas del mes de
febrero, el aumento de los frentes de obra y la temporada de lluvias a junio se alcanzó un promedio de viajes de 53,17 minutos. Es preciso indicar que se continúa con la disponibilidad del sistema de semaforización por encima del 99%, la realización de jornadas de gestión en vía, seguimiento a planes de
manejo de tránsito, entre otras.</t>
  </si>
  <si>
    <t>Con las acciones adelantadas se ha logrado mantener la velocidad de operación de la ciudad sin descuidar la seguridad vial y mitigando los impactos de congestion en los corredores de mayor volumen de tránsito de la ciudad, de esta manera se brindó una nejor experiencia de viaje a los usuarios de los corredores.</t>
  </si>
  <si>
    <t>Con la implementación de ciclorrutas se ha logrado beneficar a la ciudadanía, toda vez que se han mejorado las condiciones de seguridad vial ya que se dispone de una zona adecuada y exclusiva para la circulación de los Biciusuarios. Adicionalmente en la medida que los diferentes actores viales conozcan y respeten dichas zonas, las mismas cumplen con su función haciendo que el desplazamiento de los mismos por las vías se realice de manera más segura y ágil.</t>
  </si>
  <si>
    <t>Con la ejcución de los contratos  a traves del  programa de conservación se genera  una movilidad sostenible para estimular el uso de la bicicleta con adecuada cicloinfraestructura y condiciones de seguridad para el desplazamiento de los biciusuaros, con lo cual se pretende generar conectividad entre los tramos de la red existente ya que en ocasiones se ve interrumpida o discontinua, adicional a esto se pretende motivar a los biciusuarios al uso continuo de la bicicleta al proporcionarle condiciones adecuadas dentro de sus recorridos, incentivando el uso de transporte multimod
Adicionalmente en la medida que los diferentes actores viales han conocido  y  respetado dichas zonas, estas han cumplido con su función haciendo que el desplazamiento de los mismos por las vías se haya realizado de manera más segura y ágil.</t>
  </si>
  <si>
    <t>Aumento de la flota de transporte de cero y bajas emisiones se refleja en menor cantidad de material particulado y gases de efecto invernadero emitidos. Esto contribuye en beneficios de salud pública para la ciudadanía.</t>
  </si>
  <si>
    <t>Septiembre 30 de 2022</t>
  </si>
  <si>
    <t xml:space="preserve">En lo corrido del plan de Desarrollo 2020- 2022 se han implementado cuatro (4) fuentes de fondeo: </t>
  </si>
  <si>
    <t>1. Pago voluntario por acceso a zona con restricción, autorizado mediante el Plan Nacional de Desarrollo, y el Decreto Distrital 749 de 2019 con lo cual se han recaudado desde su implementación $ 174.106 millones de pesos con corte agosto de 2022. Adicionalmente con la expedición de la Resolución 83464 de 2021 se dio inicio a la implementación de la fase 2 del proyecto, en la cual se introdujo la posibilidad de pago diario y mensual, que se vio reflejada de manera positiva en el recaudo de los primeros meses del 2022.</t>
  </si>
  <si>
    <t>La implementación de las nuevas fuentes de fondeo permite la sostenibilidad financiera del sector Movilidad mediante la puesta en marcha de los proyectos del sector (Parqueo en vía), financiación del Sistema Integrado de Transporte Público y la reformulación de las políticas orientadas a la implementación de las fuentes alternas de financiación con tarifas preferenciales para algunos grupos poblacionales, promoviendo el acceso y disfrute igualitario y con calidad al sistema de movilidad de Bogotá, con un énfasis en la población económicamente vulnerable.</t>
  </si>
  <si>
    <t xml:space="preserve">En el marco del impacto generado por el COVID19 en los patrones de comportamiento de la movilidad en la ciudad, la SDM ha desarrollado una metodología de medición conjugando diferentes fuentes de información y análisis estadísticos para lograr identificar el número de viajes en bicicleta que se realizan en la ciudad obteniendo una estimación aproximada del número de viajes que se realizan al día, con rangos de incertidumbre, pero no alcanza la robustez de una operación estadística con el nivel de representatividad de la Encuesta de Movilidad (insumo utilizado para la formulación del indicador), con el fin de mantener la consistencia en fuente primaria de información de calidad, la SDM tiene programado realizar la Encuesta de Movilidad en el año 2023, proyectando contar con la información para reportar el número de viajes en la ciudad-región, finalizando el año en mención.
Durante el Plan de Desarrollo la Secretaría Distrital de Movilidad, la Administración distrital ha incentivado el uso de la bicicleta en la ciudad, a través de las acciones para el cumplimiento de los objetivos específicos de la política pública de la bicicleta, así:
Más seguridad personal: Bicicletas registradas 244.153 
Mayor seguridad vial: Entrega de material POP para el desarrollo de acciones pedagógicas de seguridad vial y para el desarrollo de la XV Semana de la Bicicleta. 
Más y mejores viajes en bicicleta: Construcción de los Documentos Técnicos de Soporte para el mantenimiento y la implementación de ciclorruta. Por otro lado, se tienen 10.322 cupos de ciclo parqueaderos con sellos de calidad. 
Más bici para todas y todos: Para la promoción del uso de la bicicleta se han propiciado espacios de dialogo con los colectivos ciclistas, se ha apoyado la conmemoración del día internacional de la bicicleta y se han desarrollado las semanas de la bicicleta de las vigencias 2020, 2021 y 2022. Además, durante este periodo de tiempo se acompañaron los talleres participativos con comunidad ciclistas dados por el IDPC en el marco de la declaratoria de la cultura de la bicicleta como patrimonio cultural de Bogotá.  También se ha acompaño el desarrollo de los consejos locales de la bicicleta y se han identificado espacios para la resignificación del espacio público con enfoque de género y se realizó el mismo ejercicio, pero en el marco de barrios vitales. Se firmó el Acuerdo Regional 02 de 2022 "Por el cual se crea y se reglamenta la Mesa Regional de la Bicicleta en la Región Central. El 3 de agosto se realizó la presentación del documento de postulación ante el concejo de patrimonio cultural en donde se dio un pronunciamiento positivo y se dio inicio al contrato interadministrativo 2022-1586 con la secretaría Distrital de Cultura Recreación y Deporte para entregar estímulos a colectivos ciclistas que promuevan el uso de la Bicicleta. 
</t>
  </si>
  <si>
    <t>Bogotá cuenta con unos bienes y servicios que promueven el uso de la bicicleta orientados a estimular a la ciudadanía para que realicen sus viajes en bicicleta y estos tengan mayor calidad, de igual manera promueven la equidad social y de género y ayuda a mitigar otro tipo de problemáticas que aquejan a la ciudad y a los ciclistas (salud, recreación, ambiente y calidad del aire entre otras).
 Estos bienes y servicios también aportaron en la reducción de los siniestros viales y el hurto de bicicletas al que están expuestos los ciclistas de la ciudad y brindan las condiciones físicas, culturales y socioeconómicos para que los ciclistas ejerzan su derecho a disfrutar de la ciudad en Bicicleta.</t>
  </si>
  <si>
    <t xml:space="preserve">Se dio inicio a la ejecución del contrato 2022-63 a través de cual se realiza la implementación del Sistema Público de Bicicleta, generando esta opción de movilidad sostenible, inclusiva y con enfoque de género en la ciudad. El 30 de septiembre de 2022 se realizó la inauguración con la operación parcial con 150 estaciones y 1500 bicicletas; así mismo, a la fecha se registra la instalación de estaciones, ciclotalleres (200) y cicloparqueaderos (207 racks) del sistema de bicicletas compartidas.
El Sistema se diseñó bajo la figura de aprovechamiento económico del espacio público, por lo que la ciudad no deberá invertir en él, pero si recibirá grandes beneficios en materia de movilidad sostenible a través del fomento del uso de la bicicleta.
</t>
  </si>
  <si>
    <t xml:space="preserve">Con el propósito de impulsar un esquema de transporte alternativo y ambientalmente sostenible, la Secretaría Distrital de Movilidad ha establecido una estrategia de fomento de la Micromovilidad a través del uso y aprovechamiento del espacio público, pues es allí en donde se puede aumentar el uso de vehículos de micromovilidad, por ejemplo, las bicicletas y patinetas.
Es por ello, que desde julio de 2020 se presentan los siguientes avances de esta meta:
-Construcción y publicación del protocolo de la actividad ""Alquiler de vehículos de micromovilidad"" mediante la Resolución No. 86572.
-Expedición de la regulación de provisión de servicio de la actividad de micromovilidad mediante la resolución No. 93495.
- Se gestionó con Secretaría de Ambiente la expedición de la resolución No. 03815 ""Por medio de la cual se determinan las características y condiciones de instalación de elementos de publicidad exterior visual en los vehículos y sus accesorios y elementos que conforman el sistema de movilidad individual en Bogotá D.C”
- Aprobación del Acuerdo 811 de 2021 que: 1. Permite la Publicidad Exterior Visual en vehículos de micromovilidad y 2. Permite a la Administración Distrital regular la provisión del servicio ante el Concejo Distrital.
- Publicación de la Circular 13 de 2020 ""Lineamientos para la expedición de permisos temporales de alquiler de vehículos de micromovilidad de acuerdo a lo dispuesto en el Decreto Distrital 121 de 2020, en el marco de la situación excepcional de calamidad pública por el COVID-19.""
- Publicación de la Circular 11 de 2021 ""Lineamientos para la expedición de permisos temporales de alquiler de vehículos de micromovilidad de acuerdo a lo dispuesto en el Decreto Distrital 073 de 2021, en el marco de la situación excepcional de emergencia sanitaria por el COVID-19.""
- Expedición de la Resolución 205885 de 2022 que determina las condiciones para otorgar permisos de micromovilidad
- Construcción del procedimiento interno para otorgar permisos de micromovilidad PM01-PR11 "Procedimiento para otorgar el permiso de aprovechamiento económico del espacio público para el alquiler de vehículos de micromovilidad y la autorización para desarrollar la provisión del servicio de vehículos de movilidad individual"
Todas estas acciones se encuentran alineadas y tienen como propósito que los ciudadanos tengan a su alcance un esquema de transporte alternativo y ambientalmente sostenible, y así mejorar la movilidad de la Ciudad.
</t>
  </si>
  <si>
    <t>No se han presentado obstáculos o retrasos a la fecha.</t>
  </si>
  <si>
    <t>Establecer un nuevo esquema de ciudad mediante la promoción alternativas de micromovilidad en la ciudad, entendida como la movilización individual en medios de transporte de baja velocidad, pequeños y ligeros que funcionan con autopropulsión o con energía eléctrica, con el fin de fomentar nuevas alternativas de movilización para la ciudadanía, ha demostrado varios beneficios para el medio ambiente en la ciudades como: ahorros de tiempo de viaje, comodidad para los viajeros, mitigación de la congestión del tráfico, promoción de estilos de vida más saludables, reducción de contaminación del aire y auditiva, y mejor seguridad en el tráfico, entre otros. Además, el uso compartido de estos medios se ha vinculado en varias ciudades al transporte público como una solución de 'última milla' que conecta a los viajeros a las paraderos o estaciones del transporte público, lo cual ayuda notoriamente a descongestionar el transporte público.</t>
  </si>
  <si>
    <t>La Secretaría Distrital de Movilidad SDM ha trabajado con la Secretaría Distrital de Ambiente SDA en la construcción del Plan Aire que será la hoja de ruta para la reducción de la concentración de material particulado.
-En conjunto con la Secretaría Distrital de Ambiente, se consolido el documento y los cálculos del Inventario de Emisiones de contaminantes locales para el año 2020.
- En alianza con Gobiernos Locales por la Sostenibilidad (ICLEI),  se consolidó el Plan de Logística Baja en Carbono, por medio del cual se definen las acciones para disminuir las emisiones del sector logístico en Bogotá-Región y también se inició el proyecto piloto de desconsolidación de transporte de carga de última milla con vehículos de cero emisiones
En 2021, las Secretaria Distrital de Movilidad y Secretaria Distrital de Ambiente, con la Financiera de Desarrollo Nacional, realizaron el contrato del diseño del vehículo financiero. El contrato contempló las siguientes etapas:
E1. Identificación de fuentes potenciales
E2. Priorización de tecnologías
E3. Diseño del vehículo financiero y análisis de bancabilidad
E4. Ruta de implementación y socialización
Resultado de dicho proceso, en diciembre 2021, a través del artículo 32 de la Ley 2169 de 2021, se creó el Fondo Distrital para la Promoción del Ascenso Tecnológico de la carga urbana en Distrito Capital. Dicho lo anterior, la Secretaría Distrital de Movilidad y Secretaría Distrital de Ambiente a partir de enero de 2022, avanzan en las actividades que son necesarias para la implementación del fondo distrital de carga de acuerdo con lo previsto en la hoja de ruta del fondo. 
Conforme a la información reportada por la Secretaría Distrital de Ambiente, para el primer semestre de 2022, la concentración promedio de material particulado PM10 ha sido de 36.6 ug/m3 y para material particulado PM2.5 ha sido de 18.8 ug/m3.</t>
  </si>
  <si>
    <t>Disminuir la concentración de material particulado, lo cual se refleja en beneficios en salud pública para la ciudadanía.
Se considera relevante darle una mayor relevancia al rol de la caminata en la ciudad y mejorar la experiencia de los peatones a la hora de realizar sus viajes a través de la mejora la intermodalidad y la distribución más equitativa del espacio público. Así mismo, se busca que el peatón tenga una mayor incidencia en la participación en la construcción y proyección de la ciudad, tenga más responsabilidad al usar la vía e integre a su conducta comportamientos que cuiden su vida a la hora de realizar sus viajes a pie. De igual manera, se busca promover el uso de la bicicleta y el transporte público como estrategia de reducción de emisiones.
Así mismo, se busca promover el ascenso tecnológico de la flota motorizada de la ciudad, de tal manera que se promueva la adopción de tecnologías de cero y bajas emisiones.
Por tanto, se busca que Bogotá se convierta en una ciudad donde la ciudadanía y especialmente las mujeres y los niños puedan caminar para tener acceso a todo tipo de servicios y al transporte público en virtud de mejorar la calidad de vida. Así como también mitigar las emisiones a través del uso de tecnologías y energéticos más limpios.</t>
  </si>
  <si>
    <t xml:space="preserve">La meta cuenta con dos indicadores, a continuación, el reporte de cada uno de ellos con corte a septiembre de 2022:
Número de personas fallecidas por siniestros viales: En cifras preliminares, durante el período enero-septiembre 2022 se perdieron 385 vidas (141 peatones, 137 motociclistas, 61 ciclistas, 37 pasajeros y 9 conductores) resultando un aumento del 3% frente a las muertes registradas en el año 2019.   Se han logrado salvar 34 vidas de peatones lo que ha representado una reducción del 19,4%. Ninguna vida de pasajero, 2019 y 2022 tienen 39 pasajeros fallecidos. 13 vidas salvadas adultos mayores (60 o más años) con una reducción del 15,4%. Finalmente, una mujer es salvada donde representa una reducción del 1%.
En cuanto a la cifra de jóvenes fallecidos por siniestros viales en jóvenes entre 14 y 28 años durante el período enero-septiembre 2022 se registra 135 víctimas fatales entre 14 y 28 años con un aumento del 4% comparado al 2019, Esta información fue tomada del SIGAT el 03-10-2022.
Algunas de las acciones del Plan Distrital de Seguridad Vial (PDSV) 2017-2026 que se han realizado para lograr la disminución de fatalidades en accidentes de tránsito, son: 
Eje 1: Institucionalidad y gestión de la Seguridad Vial: Se realizaron distintos análisis de siniestralidad vial en torno a fatalidad de los actores más vulnerables, identificación de puntos críticos, seguimiento a fallecidos, entre otros, con el fin de generar alertas de riesgo para evitar posibles siniestros en la cuidad de Bogotá. 
Eje 2: Actores de la vía, comunicación y cultura vial: Se realizó la coordinación y seguimiento de las jornadas de capacitación dirigidas a Trasmilenio SA y a los concesionarios del SITP. En el periodo enero-Sep se realizaron 620 sesiones dirigidas a los operadores del sistema. Se realizó la coordinación y seguimiento de las jornadas de sensibilización en vía en puntos críticos de la operación del SITP. 
Eje 3: Víctimas: Entre el 1 enero al 30 de septiembre fueron atendidas 377 nuevas víctimas de siniestros viales, de las cuales 41 son conductores, 166 motociclistas, 40 pasajeros, 78 ciclista y 52 peatones. Se realizaron 377 citas de acogida,249 citas de orientación jurídica, 260 citas de orientación social y 368 citas de orientación psicológica, para un total de 1.244 citas.
Eje 4: Infraestructura Segura: Se elaboró la propuesta preliminar integral de intervención del Barrio Vital San Carlos, que incluye estrategias de pacificación del tránsito mediante urbanismo táctico y elementos convencionales de señalización. Se gestiona la entrega a la comunidad y el lanzamiento del primer Barrio Vital de Bogotá en San Felipe - localidad Barrios Unidos. 
Eje 5: Control para la seguridad vial, tecnología y vehículos: Seguimiento a las actividades de control impulsadas por Subdirección de Control de Tránsito y Transporte. En el periodo En el periodo Enero-Septiembre de 2022 se programaron 1.559 controles de velocidad, que han resultado en la imposición de 11.844 comparendos por exceso de velocidad C29. Adicionalmente, mediante la operación de las Cámaras Salvavidas, se han impuesto 384.368 comparendos C29. En cuanto a los controles de embriaguez, se han realizado 705 controles, que han resultado en la imposición de 1.427 comparendos F.
</t>
  </si>
  <si>
    <t>R: se observó un deterioro en las buenas prácticas en seguridad vial por parte de los diferentes actores viales. Esto especialmente en el tema de velocidad, pues, aunque se definió la velocidad límite de 50 km/h para Bogotá, se continúan presentando siniestros graves por imprudencias relacionadas al exceso de velocidad en la conducción, lo cual evidencia falta de comprensión, entendimiento y solidaridad de los ciudadanos sobre cómo la velocidad a la que circulan incide directamente en las condiciones de seguridad vial de la vía y en el riesgo de un siniestro de tránsito.
S: Se seguirán implementando medidas que ayuden a mitigar la siniestralidad de todos los actores viales, utilizando medios tecnológicos que regulen el límite de velocidad en las vías, proponer soluciones de pre-diseños, desarrollar estrategias pedagógicas
SDM - Indicador : Número de jóvenes fallecidos por siniestros viales en jóvenes entre 14 y 28 años
R: se observó un deterioro en las buenas prácticas en seguridad vial por parte de los diferentes actores viales. Esto especialmente en el tema de velocidad, pues, aunque se definió la velocidad límite de 50 km/h para Bogotá, se continúan presentando siniestros graves por imprudencias relacionadas al exceso de velocidad en la conducción, lo cual evidencia falta de comprensión, entendimiento y solidaridad de los ciudadanos sobre cómo la velocidad a la que circulan incide directamente en las condiciones de seguridad vial de la vía y en el riesgo de un siniestro de tránsito.
S: Se seguirán implementando medidas que ayuden a mitigar la siniestralidad de todos los actores viales, utilizando medios tecnológicos que regulen el límite de velocidad en las vías, proponer soluciones de pre-diseños, desarrollar estrategias pedagógicas</t>
  </si>
  <si>
    <t>* El mayor impacto registrado es la reducción del número de víctimas fatales en usuario vulnerable tipo peatón.</t>
  </si>
  <si>
    <t xml:space="preserve">Meta de tipo creciente cuyo avance es de 189.177 con respecto las 166.954 Sillas esperadas para la vigencia 2022.
A septiembre de 2022 se tienen 476.260 sillas de flota troncal vinculada; con relación al componente zonal ya se tienen 547.688 sillas de flota vinculada, para un total de 1.023.948 sillas disponibles, equivalente a un aumento de 189.177 sillas de oferta (22,66%) con respecto a la línea base para el Plan de Desarrollo (834.771)
Por su parte, y en lo que refiere a las Acciones de seguimiento a la implementación del SITP por parte de la Secretaría Distrital de Movilidad, durante el cuatrienio se ha avanzado en las siguientes acciones 
- Implementación del SITP en zonas rurales: Transmilenio y la SDM vienen revisando la opción de prestar servicio a Sumapaz a través del SITP, el ente gestor revisa las condiciones técnicas, financieras y tecnológicas para esta alternativa.
- Proyecto carriles preferenciales: culminó el diseño del mantenimiento de la señalización de 29.2 km/carril correspondiente al corredor de la av. NQS, de los cuales se han implementado 21 km/carril en el tramo comprendido entre la AK 68 y la Cl. 63. 
- Videos Paraderos Accesible y Flota vehicular accesible: junto con la Oficina Asesora de Comunicaciones y Cultura para la Movilidad (ACCM) se realizaron 2 videos en el cual se describen los paraderos del SITP zonal y su accesibilidad, así como la flota vehicular nueva incorporada (Énfasis en puerta de acceso elevador, sillas PcD, espacio ayuda viva, perro guía, entre otros)
- Mesas de seguimiento a la tutela (Resolución 246 de 2015): con la participación de Transmilenio S.A., Instituto de Desarrollo Urbano -IDU, Departamento Administrativo del Espacio Público - DADEP, Unidad de Mantenimiento Vial - UMV, Fondo de Desarrollo Local - FDL Alta Consejería de la Tics - ADTICs y Secretaria Jurídica Distrital se han realizado 10 mesas de seguimiento para el cumplimiento de la tutela T-192-14 y se presentó ante el juzgado el informe respectivo.
- Plan de Movilidad Accesible: seguimiento constante a los indicadores de cada uno de los cinco ejes de acción.
- Se han realizado 40 mesas interinstitucionales con el IDU, Departamento Administrativo de la Defensoría del Espacio Público-DADEP, Transmilenio S.A, Unidad Administrativa de Mantenimiento y Rehabilitación de la malla Vial-UMV a fin de acordar acciones para mejorar la accesibilidad en el espacio público asociado a paraderos.
- Mesas al interior de la SDM a fin de coordinar acciones en la implementación de señalización en paraderos del SITP en especial los que presentan conflicto con ciclorutas y/o bicicarriles.
- Mesa técnica de Paraderos: se han realizado 15 mesas técnicas donde se trataron casos especiales en la implementación de paraderos del servicio zonal-alimentación del SITP teniendo como base lo estipulado en la resolución 269 de 2020 Paraderos.
-Se han realizado 40 visitas técnicas a diferentes puntos de la ciudad con el fin de revisar inconvenientes en paraderos con afectación por conflicto con ciclorrutas, problemas en relación a su ubicación y/o a temas de reubicación o traslados.
- Apoyo en revisión de los diseños del metro de Bogotá con relación a la accesibilidad y ubicación de paraderos SITP conexos.
</t>
  </si>
  <si>
    <t>La meta no se han presentado retrasos</t>
  </si>
  <si>
    <t>Se tienen 163.435 sillas adicionales en el sistema de transporte público para aumentar la capacidad en los componentes troncal y zonal, y en consecuencia mejorar la prestación del servicio.</t>
  </si>
  <si>
    <t>En cuanto al indicador de confiabilidad del servicio del SITP en el componente troncal y zonal:
BRT: Los datos obtenidos reflejan la confiabilidad del Sistema en términos de ejecución de la oferta programada, es decir, indican la calidad en la prestación de los servicios troncales para los usuarios, en términos de cumplimiento de despachos, cumplimiento de kilómetros programados y la distancia promedio entre varados.
Zonal:  Si bien se logró una mejora en el Índice de Regularidad del intervalo del componente Zonal, pasando de cifra de mes a 68,1% en marzo de 2020, a un valor promedio acumulado a septiembre de 2022 del 77,59 %., en lo corrido del 2022 se ha presentado una leve reducción del indicador de 0.34 respecto a junio de 2022 (77,93), dicha disminución se debe a, eventos como manifestaciones, congestión vehicular y la ausencia de conductores. Dichas situaciones han generado un reto para las áreas de Programación y Supervision de la Operación, las cuales han implementado estrategias como el proyecto de Rutas de Alto Impacto o la creación de herramientas como los tableros de Tiempos de Ciclo, Curvas de Oferta demanda en pro de disminuir el impacto en la prestación del servicio y continuar con los logros obtenidos respecto a la regularidad de los viajes. 
Frente a las acciones de la Secretaría Distrital de Movilidad en el seguimiento a los proyectos de infraestructura vial y equipamientos de transporte del sistema de movilidad, se encuentran como avances:
Estudios de Tránsito
Estudio, diseño y construcción de mejoras geométricas y nueva salida del Portal Troncal 80. 
Malla vial y andenes en la Carrera 4Este entre Calles 46D Sur y 45 Sur La Victoria.
Estudios, diseños y construcción del Canal Córdoba entre Calles 129 y 170. 
Estudios y diseños conexión regional Canal Salitre y Río Negro NQS- AK7. 
Estudios, diseño y construcción Paseos Comerciales Fase II Puente Aranda.
Factibilidad, estudios y diseños para la construcción del puente San Agustín y el puente Los Andes. 
Interventoría estudios, diseños y construcción aceras y ciclorutas costado oriental Autonorte entre AC 80 y CL 128B.
Estudios y diseños proyecto Zona F. 
Metodología Estudio de Tránsito: Ciclo Alameda Medio Milenio. 
Ampliación puentes peatonales estaciones Calle 142, Calle 146, Toberín y Mazurén.
Patios zonales SITP: Aeropuerto, Usme Centro, Alameda El Jardín, María Juana, Perdomo, El Gaco, 
El Uval, La Conejera, Suba Gaitana, La Turquesa, Alimentadores Bosa, Corpas, Usme Centro II, Escritorio Fontibón, Bilbao, Perdomo II y Villa Gladys, Patio Calle 191. 
Plan Parcial de Renovación Urbana (PPRU): Tapas La Libertad, Textilia 
Plan de regularización y Manejo (PRM) Clínica Nuestra Señora de la Paz, Clínica de la Mujer, Hospital Universitario Méderi, Cruz Roja Colombiana, Dotacional Educativo Siervas de San José, Fundación Amparo de Niñas y Hospital Universitario Nacional.
Estudio de Demanda y Atención de Usuarios EDAU: Centro de Diagnóstico Automotor CDA Tecnocar la 33, CDA Colombia, Centro de Talento Creativo Voto Nacional, Formación para el trabajo SENA Voto Nacional,Acción Popular 367 de 2013 Calle 54 Sur de CR 88C a CR 89B Bosa.</t>
  </si>
  <si>
    <t>A pesar de presentarse un menor valor con respecto al periodo anterior, el mismo no obedece a retraso alguno en actividad, proyecto y/o gestión a cargo. Es importante resaltar que aun reportando un valor menor para el periodo, el valor final es mayor a lo esperado para todo el PDD.</t>
  </si>
  <si>
    <t>Las actividades asociadas al SGSI permiten disponer de componentes del DRP y definir y aplicar políticas  de seguridad de la información generando que sea confiable, esté disponible y protegida. Así mismo se mejoran los esquemas de contingencia a través  del equipamiento ITS no SIRCI en buses, con componentes como los STS (Sistema Tecnológico de Seguridad)para gestión de seguridad  y en la gestión de la información generada al interior de los vehículos, lo que  orienta y facilita toma de acciones y decisiones de operación. Disponer de los GTFS estáticos y dinámicos se traducen en beneficio como   fuente de información de rutas, frecuencias, horarios, etc., que soportan la operación y están al servicio de los usuarios. Así mismo la definición de nuevas funcionalidades del sistema de control de flota, fortalece su disponibilidad, oportunidad y cobertura de información para la operación del sistema.</t>
  </si>
  <si>
    <t>En cuanto al número de Cables aéreos implementados y estructurados (se mide solo estructurados si bien la meta final no presenta avance, se han realizado las siguientes acciones:</t>
  </si>
  <si>
    <t>No presenta beneficios por cuanto se está en la etapa antecesora. Así las cosas, los beneficios se reflejarán posteriormente, y éstos están relacionados con:
El cable de san cristobal  beneficiará  a  más de 400 mil habitantes de la localidad en 2.8 km de línea con tres estaciones
Respecto a la estructuración de otros cables, el Cable reencuentro Monserrate.  tendra  más de 7 kilómetros que se conectara con el corredor verde la la séptima en inmediaciones del Museo Nacional y elcentro internacional y conectara el sector universitario los barrios los Laches, El Consuelo, El dorado con la estación bicentenario de Transmilenio y con la PMLM en el parque tercer Milenio.</t>
  </si>
  <si>
    <t>En lo que va corrido del Plan de Desarrollo, el Sector Movilidad ha logrado la conservación de 102.6km. En lo que respecta a la vigencia 2022, a septiembre se logró la conservación de 45.74km. A continuación, el detalle por entidad:
SDM - En lo transcurrido del Plan de Desarrollo se han mantenido 22,39 km de cicloinfraestructura existente. En lo que respecta a la vigencia del año 2022 se han mantenido 13,74 km de cicloinfraestructura existente. Entre los años 2020 y 2022 se han intervenido 6 localidades las cuales son: Kennedy, Suba, Santa Fe, Teusaquillo, Fontibón y Ciudad Bolívar. Se realizó la priorización de la cicloinfraestructura existente en las diferentes vías del Distrito. Posteriormente se realizó la asignación al contrato de obra correspondiente a cada zona, para su mantenimiento en campo, bajo la supervisión de actividades por parte de la Entidad.
Las principales ciclorrutas a las cuales se les ha adelantado mantenimiento fueron las siguientes: Av. Boyacá, KR 59A entre AC 134 y CL 135. KR 16 entre CL 35 y CL 36 y entre CL 60 y CL 61. CL 17 entre KR 98 Y KR 100 y entre KR 116A y 124. CL 17 entre KR 97A KR 136, Plaza Galerías (Calle 53B entre Carrera 24 y Carrera 25), Autopista Sur.
IDU - En lo corrido del Plan de Desarrollo se han conservado 24,29 km de ciclorrutas, con los cuales se alcanza un 22,08% de avance frente a la meta del PDD, a través de los contratos:
IDU-1639-2019 MANT ESP PUBLICO Y CICLORUTA;
IDU-1300-2020;
IDU-1272-2020 MANT ESP PUBLICO Y CICLORUTA;
IDU-1691-2020  MANT ESP PUBLICO Y CICLORUTA;
IDU-1695-2020  CONSERVACION MVI;
IDU-1786-2021;
IDU-1791-2021; 
IDU-1782-2021; 
IDU-1794-2021 MANT. DE CICLORUTAS;
IDU-1787-2021;
IDU-1792-2021.
UAERMV ¿ En lo corrido del Plan de Desarrollo se han conservado 55.92 km de cicloruta. Para la vigencia 2022 se ejecutaron 19.66 Km de la Cicloinfraestructura, dentro de las principales localidades intervenidas están Engativá, Kennedy, Fontibón, Teusaquillo, Puente Aranda, Antonio Nariño y Bosa.
Se han intervenido las cicloinfraestructuras de Zona Franca, El Porvenir, El tintal, Ciudad Jardín, Timiza, Alamos, Escocia, Kasandra, Venecia, Arborizadora, Corabastos, Bosa Occidental y Calandaima, entre otras.</t>
  </si>
  <si>
    <t xml:space="preserve">En lo que va corrido del Plan de Desarrollo, a septiembre de 2022 por parte del Sector Movilidad se ha logrado la conservación de 1.462,48 km carril de malla vial.  En lo que respecta a la vigencia 2022 a septiembre se logró la conservación de 577,15 km. A continuación, el detalle por entidad:
IDU - Indicador: Kilómetros de malla vial conservada
Con corte a 30 de septiembre de 2022 se tienen programada la contratación para conservar 526,81 km-carril en las mallas viales de la ciudad y presenta un avance de 387.56 km-carril que frente a la meta plan de desarrollo de 938 km carril equivale al 41.3% de cumplimiento, acciones que se han realizado a través de los programas de conservación así:
MANTENIMIENTO DE 208,90 KM-CARRIL MALLA VIAL ARTERIAL
MANTENIMIENTO 151,07 KM-CARRIL DE MALLA VIAL INTERMEDIA 
MANTENIMIENTO DE 13,52 KM-CARRIL DE MALLA VIAL LOCAL
REHABILITACION DE 1,60 KM-CARRIL DE MALLA VIAL INTERMEDIA  
REHABILITACION DE 25,99 KM-CARRIL DE MALLA VIAL RURAL
UAERMV - Indicador: Kilómetros de malla vial conservada
De acuerdo con lo programado se presenta un avance en obra de 86.80%, se intervinieron 391.33 km carril de malla vial local e intermedia, 22.56 km- carril de obra de malla vial arterial y 8,16 km- carril de malla vial rural para un total de 422.05 km carril intervenidos, en 3.283 segmentos y se taparon un total de 273,881 huecos. Entre las principales vías intervenidas se destacan La esmeralda Calle 44 A, Nicolás de Federman Calle 57, El Virrey Carrera 6, Molinos Norte Carrera 11, Fátima Calle 53 A sur, Santa Lucia Transversal 19 sur, La Castellana Carrera 48, 20 de Julio Calle 22 sur, Autopista Musu, Villa Alsacia 2 Calle 10, Chico Norte Calle 96, Alfonso López Calle 50, Calle 106, Dindalito Carrera 96 Bis sur, Comuneros Calle 4, Carrera 9 entre calles 100 y 140, Conexión Bosa Soacha Calle 31 sur, Fontibón Calle 22d, Calle 13 Sector 92a 138, Calle 151, Calle 154, Calle 156, Calle 64, entre otras.
Así mismo las intervenciones realizadas corresponden a: Parcheo/Bacheo, Cambio de carpeta, Rehabilitación en flexible, Cambio de losa, Rehabilitación en rígido, Sello de fisuras, y fresado estabilizado.
En lo corrido del 2022, se atendieron 9 emergencias, así: retiro y traslado de material desprendido sobre la vía en la localidad de Usme, limpieza, trasciego y cargue de material de deslizamiento en la localidad de Usaquén, limpieza y remoción de escombros, lavado de superficie en la localidad de Chapinero, retiro de material para escombrera y retiro de material y despeje de la vía en su totalidad por desprendimiento de material del talud adyacente a la vía en la localidad de Ciudad Bolívar, adecuación de vías con fresado (2) en la localidad de Bosa y en la localidad de Puente Aranda (2). 
Es importante destacar que la UAERMV ha logrado beneficiar alrededor de 5.400.845 habitantes del distrito capital, reduciendo sus tiempos de desplazamiento y mejorando las condiciones de movilidad, seguridad y calidad de vida.
UAERMV - Indicador: Kilómetros de malla vial conservada con fuente SGR
A corte 30 de septiembre, el proyecto de mejoramiento de vías terciarias, en lo que respecta a la ejecución de obras hidráulicas, presenta los siguientes avances, en el tramo Capitolio se han efectuado 682 m3 de excavación mecánica, 692 m3 de transporte y disposición final de escombros y se han construido 966 ml de filtro de drenaje tipo francés; en el tramo Unión Tunales, se han efectuado 1.224 m3 de excavación mecánica, 1.524 m3 de transporte y disposición final de escombros, 1.635 ml de construcción de filtro de drenaje, 975 kg de instalación de acero de refuerzo para alcantarillas, 7,40 m3 de concreto ciclópeo para placas de 3 encoles y 2,85 m3 para concreto de alcantarillas.
</t>
  </si>
  <si>
    <t>En cuanto a la conservación de malla vial, se pretende mantener en buen estado lla malla vial arterial, intermedia y tratar que las  curvas de deteriodo de dichas malla no disminuyan con lo cual se disminuyen costos en las intervenciones a futuro a realizar.</t>
  </si>
  <si>
    <t xml:space="preserve">El avance acumulado PDD entre julio de 2020 y septiembre de 2022 equivale a un total de 175.762 estudiantes beneficiados a través de los tres proyectos de Ciempiés, Al Colegio en Bici y Ruta Pila. Frente a los viajes realizados a través de los cuales se han beneficiado los estudiantes, se cuenta con un total de 1,648,301 viajes de los cuales corresponden 1'225.781 a Al Colegio y Bici y 422.520 a Ciempiés, 139 visitas a colegios y 10.191 vehículos de transporte escolar controlados mediante Ruta Pila. 
Frente a 2022, se han beneficiado 105.695 estudiantes con el inicio de la operación a la par que el calendario escolar en las 20 localidades donde operan los proyectos "Al Colegio en Bici", "Ciempiés Caminos Seguros" y "Ruta Pila". En estos proyectos ya se han abierto en su totalidad las caravanas con los diferentes colegios, alcanzando los más de 130. Con "Al Colegio en Bici" se logró la realización de 936.101 viajes, y con "Ciempiés Caminos Seguros" 300.546 viajes. Finalmente, para Ruta Pila, en 2022 se han realizado 79 visitas a colegios y 6.191 revisiones a vehículos escolares.
Al Colegio en Bici: para este periodo ha logrado beneficiar a 7.754 estudiantes matriculados en instituciones educativas distritales de las 15 localidades donde opera con las rutas de confianza, polígonos de Bici-parceros y Actividades Extracurriculares. De los 7.754 estudiantes beneficiados, 5.637 se encuentran entre los 5 y los 13 años y 2.117 de 14 en adelante. Adicionalmente, 3.108 son niñas y 4.646 son niños y se encuentran distribuidos en las siguientes localidades: Antonio Nariño 157, Barrios Unidos 115, Bosa 1863, Ciudad Bolívar 320, Engativá 1059, Fontibón 237, Kennedy 911, Mártires 149, Puente Aranda 338, Rafael Uribe Uribe 474, San Cristóbal 46, Suba 1261, Tunjuelito 376, Usaquén 258 y Usme 190. Por último, con relación con población en condición de discapacidad se cuenta con 169 estudiantes y por comunidad, a la fecha se tiene 68 estudiantes pertenecientes a la comunidad afro y 38 a la comunidad indígena.  
Ciempiés: logró beneficiar a 2403 estudiantes matriculados en instituciones educativas distritales entre las 6 localidades donde se opera: Suba, Bosa, Mártires, Ciudad Bolívar, Usaquén y Kennedy. De los 2403 estudiantes beneficiados, 2130 se encuentran entre los 5 y los 13 años y 273 de 14 en adelante. Adicionalmente, 1264 son niñas y 1139 son niños y se encuentran distribuidos de la siguiente manera en las localidades: Bosa 689, Suba 618, Kennedy 346, Mártires 229, Ciudad Bolívar 221 y Usaquén 300 Respecto a las etnias se cuenta con la participación de 25 beneficiarios. Entre ellos 26 de comunidades afro y 33 de comunidades indígenas: Muisca, Andoque, Pijao, Kichwa, Cocama y Nasa.
Ruta Pila: Con los 227 operativos de control, se ha logrado beneficiar a 95.538 estudiantes que se desplazan en rutas escolares verificando las condiciones de seguridad y cumplimiento normativo en materia de tránsito y transporte.
</t>
  </si>
  <si>
    <t>La meta no se reportan retrasos.</t>
  </si>
  <si>
    <t>-Se han mejorado las experiencias de viaje mediante prácticas de seguridad vial, enseñanza de conocimientos en movilidad, cultura vial y modos sostenibles de transporte para que las niñas, niños apliquen en sus diferentes recorridos.</t>
  </si>
  <si>
    <t>En lo corrido del Plan de Desarrollo, se ha ejecutado un total de 37,39 km/carril de vía, correspondiente al 25,61% de cumplimiento de la meta PDD en avances en las siguientes obras:
AV. TINTAL DE AV. V/CIO. A AV. BOSA. IDU-1543-2018
AV ALSACIA (AV BOYACÀ -  AV CALI) IDU-1539-2018 
AV. ALSACIA (AV TINTAL A AV CALI) y AV TINTAL DE AV M. CEP VARGAS A AV ALSAC
IDU-1540-2018
 AV BOSA DESDE AV C CALI HAST AV TINTAL IDU-1533-2018
AV. JOSÉ C. MUTIS DE AK. 70- AV. BOYACA IDU-1851-2015
AV. ELRINCON KR91 AC131A D CR91 AV. CONEJE IDU-1725-2014
AV. L. GOMEZ AK9 D CL183 A CL193 IDU-1551-2017
AV. EL RINCON DE AV. BOYACA A CRA.91 IDU-1550-2018
TRONCAL CARACAS TR 1 EST. ALIMENTADORA IDU-1601-2019
AV CERROS - AV CIRCUNVALAR - IDU-1348-2021
TRONCAL AVENIDA  68 Grupos 3, 4, 7 y 9 IDU-347-2020, IDU-348-2020, IDU 351-2020, IDU- 353-2020
TALUD AMAPOLAS IDU-1199-2020
Convenio CC el EDEN IDU-1452-2017
ESTRUCTURA PERIMETRAL PARQUE GILMA JIMEN IDU-929-2020
En cuanto al Porcentaje de estructuración del proyecto de la Avenida Centenario entre la Crrera 50 y el límite del Distrito, como parte del borde occidental
El proyecto Avenida Centenario entre la Carrera 50 y el límite del Distrito cuenta a la fecha con aval técnico por parte del Ministerio de Transporte para lograr la cofinanciación de la nación de que trata la Ley 310 de 1996 de Sistemas de Servicio Público Urbano de Transporte Masivo de Pasajeros. Asimismo, tiene aval fiscal distrital y fue declarado en el junio de importancia estratégica por el Distrito. El proceso de selección y adjudicación se tiene programado para el último trimestre de la presente vigencia.
Frente al Porcentaje de avance físico en los estudios  del proyecto financiado con regalías denominado 'Canal Salitre'
Este proyecto, posterior a los análisis técnicos tuvo una inviabilidad de tipo técnica y financiera, por lo cual no fue procedente continuar con la etapa subsiguiente. El proyecto cumplió su objetivo, correspondiente a mejorar la información para la toma de decisión en su etapa de factibilidad. La liquidación con glosas corresponde al pago de informe técnico final e informe ejecutivo, los cuales ya fueron cerrados y adicionalmente se deberán entregar reportes de información estandarizada, cesión de derechos de autor y obligaciones en materia SST los cuales se encuentran en trámite. La interventoria de este contrato está en liquidación judicial
IDU - Indicador : Porcentaje de avance físico en los estudios  del proyecto financiado con regalías denominado 'Avenida 170'
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se encuentra en proceso de liquidación.
Porcentaje de avance físico en los estudios  del proyecto financiado con regalías denominado 'ALO'
Proyecto culminó. El proyecto culminó en fase de estudios y diseños con excepción del tramo norte por restricción de tipo ambiental sobre la reserva Thomas Van Der Hammen.
Porcentaje de avance físico en los estudios  del proyecto financiado con regalías denominado 'Autonorte'
Este proyecto tuvo que ser finalizado en su etapa de factibilidad, teniendo en cuenta que los resultados arrojados por los análisis de beneficio-costo, demostraban que las alternativas eran no viables. Lo cual implicó que el contrato con el cual se desarrollaba el proyecto se encuentra en proceso de liquidación
Porcentaje de avance físico en los estudios  del proyecto financiado con regalías denominado 'Circunvalar de Oriente'
Proyecto culminó con la totalidad de acciones de factibilidad, así como de estudios y diseños de detalle. Los análisis técnicos corresponden a un proyecto viable, sin embargo, existe la posibilidad de generar ingeniera de valor para optimizar dichos diseños. El contrato principal se encuentra liquidado con glosas de las cuales el informe técnico final y el informe ejecutivo ya fueron cerrados, encontrándose en trámite el informe social, informe SST, cesión de derechos, entrega de firmas y estandarización de información.
Porcentaje de avance físico en los estudios  del proyecto financiado con regalías denominado 'Avenida Boyacá'
Este proyecto tuvo que ser finalizado en su etapa de factibilidad, teniendo en cuenta que los resultados arrojados por los análisis de beneficio-costo (la cual es menor a 1) demostraban que las alternativas eran no viables. Lo cual implicó que el contrato con el cual se desarrollaba el proyecto se encuentra en proceso de liquidación.</t>
  </si>
  <si>
    <t xml:space="preserve">Con la contratación de las etapas antecesoras  se pretende avanzar en el ciclo de vida de los proyectos  y por otra parte con la  la contrucción de nuevas  vias se  espera  ejecutar proyectos integrales incluyendo en su desarrollo entre otras la planeación, evaluación y priorización de proyectos y la construcción de la infraestructura requerida bajo los parámetros de diseño que concuerden con la denominación de las vías y andenes  según el Plan de Ordenamiento Territorial POT, garantizando especificaciones técnicas que hagan posible una movilidad eficiente para optimizar la continuidad de los corredores de comunicación de Bogotá con otras ciudades y municipios y permitir la articulación de redes de ciudades a nivel nacional e internacional, los corredores de CicloRutas, que permitan la intermodalidad de los sistemas, todo esto teniendo siempre en cuenta el componente ambiental y social requerido para cumplir con los estándares de calidad de las obras.
Este proyecto junto con la Avenida Longitudinal  beneficiará a más de un millón trescientos mil bogotanos  de las localidades de Fontibón, Puente Aranda y Engativa, generando impactos positivos como ahorros en los tiempos de viaje, costo operacional de vehículos privados, ahorro en emisiones contaminantes y ahorro en accidentalidad, entre otros .
Así mismo, cuando comience su construcción, se estima en 41.592 los empleos generados para todo el proyecto, calculados conforme a la metodología de Fedesarrollo, lo que ayudará a la reactivación económica de la ciudad y de la región.
</t>
  </si>
  <si>
    <t xml:space="preserve">A corte 30 de septiembre, el proyecto de mejoramiento de vías terciarias, en lo que respecta a la ejecución de obras hidráulicas, presenta los siguientes avances, en el tramo Capitolio se han efectuado 682 m3 de excavación mecánica, 692 m3 de transporte y disposición final de escombros y se han construido 966 ml de filtro de drenaje tipo francés; en el tramo Unión Tunales, se han efectuado 1.224 m3 de excavación mecánica, 1.524 m3 de transporte y disposición final de escombros, 1.635 ml de construcción de filtro de drenaje, 975 kg de instalación de acero de refuerzo para alcantarillas, 7,40 m3 de concreto ciclópeo para placas de 3 encoles y 2,85 m3 para concreto de alcantarillas.
En lo transcurrido del Plan de Desarrollo, se han implementado 59.42 km de ciclorruta.
Desde la SDM en lo transcurrido del Plan de Desarrollo, se han implementado  43.77 km de ciclorruta, en la vigencia del año 2022 se han implementado 2,19 km de ciclorruta. Entre los años 2020 y 2022 se han intervenido 10 localidades las cuales son: Fontibón, Kennedy, Usaquen, Suba, Barrios Unidos, San Cristobal, Santa Fe, Candelaria, Chapinero y Teusaquillo. Se realizó la priorización de los corredores viales en los cuales se evaluó la viablidad de la implementación de las ciclorrutas segregadas en calzada. Posteriormente se realizó el diseño de señalización correspondiente, la asignación al contrato de obra de cada zona para su implementación en campo, bajo la supervisión de actividades por parte de la Entidad.
Los principales proyectos de ciclorruta a destacar son los siguientes: Par vial AK 7 y KR 8 entre Calle 12B y Calle 22 Sur. AK 7 entre Calle 32 y Calle 106. AC 13 entre Carrera 100 y Carrera 135. AK 9 entre Calle 170 y 127, AK 11 entre Calle 127 y Calle 116 y Calle 106 entre AK 11 y AK 7. Carrera 73 entre Av. Boyaca y AV. Primero de Mayo. Plaza Galerias (Calle 53B entre Carrera 24 y Carrera 25)
SDM - Indicador : Kilómetros de ciclovía temporal en operación
Las Ciclovías Temporales (CVT), que surgen en el marco de la pandemia por COVID-19, buscan generar espacios de circulación ciclista, dado que este modo de transporte atiende las recomendaciones de la OMS, al ser individual y propender por mantener la distancia social. Se debe tener en cuenta que al ser una medida temporal se busca que los corredores de ciclovía temporal disminuyan en el tiempo, o se consoliden como ciclorrutas permanentes. Actualmente la ciudad cuenta con 6.8 km de ciclovias temporales.
Por parte del IDU,en lo corrido del Plan de Desarrollo, se ha ejecutado un total de 15,65 km de ciclorruta que representan el 6,99% de avance frente a la meta del Plan del IDU de 224 km y distribuidos de la siguiente manera:
AV. TINTAL DE AV. V/CIO. A  AV. BOSA. IDU-1543-2018
 AV BOSA DESDE AV C CALI HAST AV TINTAL  IDU-1533-2018
AV.JOSÉ C.MUTIS DE AK. 70- AV.BOYACA IDU-1851-2015
AV.ELRINCON KR91 AC131A D CR91 AV.CONEJE IDU-1725-2014
CICLO RUTA CL 116 - CRA 11 - CRA 50 - IDU-1828-2015
CANAL MOLINOS ENTRE AK 9 Y AUTONORTE  IDU-1518-2020
TRONCAL CARACAS TR 1 EST. ALIMENTADORA IDU-1601-2019
AV ALSACIA (AV BOYACÀ -  AV CALI) IDU-1539-2018
PUENTE VEHICULAR AUTO NORTE POR CL 153 IDU-1737-2021
ANDENES CL92 Y CL94 DE CR 7 A  AUTONORTE IDU-1279-2020
TRONCAL AVENIDA 68 GP 4 Y 9  IDU-348-2020, IDU-353-2020
AV. 68 ALIMENTADORA LINEA METRO - GP 7 IDU 351-2020
AV TINTAL DE AV M. CEP VARGAS A AV ALSAC IDU-1540-2018
CORREDOR AMBIENTAL CANAL CORDOBA IDU-1650-2019
ACCIONES POPULARES IDU-408-2021  IDU-1553-2020
ESTRUCTURA PERIMETRAL PARQUE GILMA JIMEN  IDU-929-2020
CONVENIOS (CC el EDEN y Convenio CC la Multiplaza y sector de la Felicidad) IDU-1452-2017 IDU-1233-2017
Finalmente, del Porcentaje de ejecución de los diseños y las obras requeridas en el proyecto denominado Ciclo Alameda Medio Milenio, el IDU presenta los siguientes avances:
El proyecto de Estudios y Diseños de la Ciclo Alameda Medio Milenio se encuentra en un avance del 63%, la Fase de Estudios y Diseños se prorrogó 4.8 meses adicionando un mes de traslapo sobre la Fase de Aprobaciones, teniendo como fecha de terminación el 17 de Agosto 2022, más un mes adicional de aprobaciones para una fecha final de contrato del 17 de Septiembre de 2022, a la fecha la Consultoría está entregando a la Interventoría los avances de cada uno de los componentes de diseño para los tramos 2 y 3 priorizados para el proceso de obra.
</t>
  </si>
  <si>
    <t xml:space="preserve">Si bien es cierto la meta no presenta avance, a la fecha se encuentran contratados 21 de los 29 programados, una vez se culminen dichos contratos se reporta su ejecución, en puntos como:
- INTERSECCION AV. RINCON X AV. BOYACA (4) IDU-1550-2018
- INTERSECCION AV ALSACIA POR AV BOYACA (2) IDU-1539-2018
- PUENTE VEHICULAR AUTO NORTE POR CL 153 (2) IDU-1737-2021 - IDU-1810-2021
- PTE VEH.JUAN AMARILLO CL129C (CR99 A 100) (1) IDU-1636-2020
- REFORZAMIENTO ESTRUCTURAR PTE VEHICULARE (6) IDU-1826-2021
- REFORZAMIENTO ESTRUCTURAR PTE VEHICULARE (4) IDU-1825-2021 -  IDU-1826-2021
- INTERSEC. AUTOP SUR POR AV BOSA (2) IDU-1013-2022
Además de lo anterior se ha realizado mantenimiento de 14 puentes vehiculares a través de los siguientes contratos:
Mantenimiento: 
*.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y 9. Av. Ciudad de Cali por Calle 80
*.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Frente al indicador de puentes vehiculares reforzados, Si bien es cierto la meta no presenta avance, a la fecha se encuentran contratados 21 de los 29 programados, una vez se culminen dichos contratos se reporta su ejecución, en puntos como:
- INTERSECCION AV. RINCON X AV. BOYACA (4) IDU-1550-2018
- INTERSECCION AV ALSACIA POR AV BOYACA (2) IDU-1539-2018
- PUENTE VEHICULAR AUTO NORTE POR CL 153 (2) IDU-1737-2021 - IDU-1810-2021
- PTE VEH.JUAN AMARILLO CL129C (CR99 A 100) (1) IDU-1636-2020
- REFORZAMIENTO ESTRUCTURAR PTE VEHICULARE (6) IDU-1826-2021
- REFORZAMIENTO ESTRUCTURAR PTE VEHICULARE (4) IDU-1825-2021 -  IDU-1826-2021
- INTERSEC. AUTOP SUR POR AV BOSA (2) IDU-1013-2022
Además de lo anterior, se ha realizado mantenimiento de 14 puentes vehiculas a través de los siguientes contratos: 
Mantenimiento: 
*. IDU-1710-2020
Puentes conservados: 1. TV 60 (Av. Suba) por CL 117 (Humedal Córdoba), 2. Av. Iberia (Cl 134) por Av. Paseo de Los Libertadores (norte), 3. Av. Chile (AC 72) por Av. Boyacá, 4. Av. Pepe Sierra por Av. Paseo de los Libertadores, 5. Av. Medellín por Av. del Congreso Eucarístico (costado norte), 6. Av. Pepe Sierra por Av. Boyacá, 7. Av. Medellín por Avenida Boyacá (norte), 8. Av. Medellín por Avenida Boyacá (central), y 9. Av. Ciudad de Cali por Calle 80.
*. IDU-1711-2020
Puentes conservados: 1. Av. Ciudad de Quito por DG 61C (Canal Salitre), 2. Av. José Celestino Mutis por Av. del Congreso Eucarístico (norte), 3. Av. José Celestino Mutis por Av. del Congreso Eucarístico (sur), 4. Av. de las Américas por Av. Ciudad de Quito, 5. Av. Carlos Lleras Restrepo Por Av. Alberto Lleras Camargo.
De igual manera, y frente al porcentaje de avance físico del proyecto financiado con regalías denominado 'Construcción del Intercambiador NQS-BOSA'
El proyecto tiene un avance de cero, debido a que no se ha iniciado trabajo de obra directa, los cuales se tienen previstos para el primer trimestre del año 2023. Sin embargo, el IDU ha avanzado con la gestión predial, de tal manera que cuenta con 126 predios ofertados de 132, de los cuales ya se han suscrito 87 promesa de compraventa con propietarios, 18 predios en proceso de negociación, lo que implica que 21 predios hayan iniciado proceso de expropiación. Se han recibido 32 predios para iniciar con el proceso de demolición.
</t>
  </si>
  <si>
    <t>Con la construccion , reforzamiento o mantenimiento de los puentes vehiculares se pretende dar conectividad a las vias con lo cual se disminuye los tiempos de  de recorrido vial.</t>
  </si>
  <si>
    <t xml:space="preserve">A continuación, las acciones adelantadas por parte del Sector Movilidad:
Frente a las acciones adelantadas por la Secretaría Distrital de Movilidad, en lo corrido del año, la estrategia de cultura ciudadana se desarrolló en tres ejes:  comunicación externa, pedagogía y campañas. Como principal componente de comunicación externa fue la construcción de contenidos y mensajes con un lenguaje claro e incluyente. De esta manera se promocionaron el uso de los modos alternativos, en especial la bicicleta, allí se manejaron mensajes donde se priorizó una comunicación directa, inclusiva, cordial y de corresponsabilidad en el sentido de que todos los ciudadanos aporten a la protección de la vida en el sistema de movilidad. Se dio a conocer la obligatoriedad desde el 2 de enero del registro bici.  
Por otra parte, se diseñó, revisó y actualizó la propuesta pedagógica dirigida a los diferentes actores viales, en especial a los ciclistas, adultos mayores que promovieron la educación vial y la movilidad segura. Así mismo, se desarrollaron intervenciones pedagógicas en las modalidades virtual y presencial en empresas, entidades (se dispuso 14 módulos de educación vial y cultura ciudadana), instituciones educativas (se realizó actividades para niñas, niños, adolescentes, docentes, padres de familia, adultos acompañantes y conductores de rutas escolares) y en espacio público (se desarrollaron acciones con ciclistas, motociclistas, conductores y peatones). Junto con el equipo de pedagogía se implementó la estrategia de pedagogía sobre el mal parqueo, con la campaña -La Bogotá que Estamos Construyendo-
Ahora bien, en campañas de cultura ciudadana y con el acompañamiento de otras dependencias de la Entidad como Gerencia en bici y pedagogía, se construyó el protocolo de intervención en calle de la nueva fase de la campaña "Un Pedido por la Vida", la cual se enfoca en ciclistas domiciliarios. 
Las acciones desarrolladas estuvieron relacionadas con la seguridad vial, la reducción de la velocidad, la prevención de siniestros viales y el cuidado del peatón, el actor vial más vulnerable y el más importante en la movilidad sostenible, se generaron conocimientos sobre el cuidado de la vida propia y la de los demás actores viales, así mismo, se promovió la cultura ciudadana, los hábitos y comportamientos necesarios para un sistema de movilidad.
Por su parte, desde la Unidad de Mantenimiento Vial, se realizaron acciones asociadas al Objetivo 1 en la actividad: Campaña ahora somos más ciudadanos, se hizo una recopilación de las piezas publicitarias de los reportajes a los colaboradores de obra donde se resalta su labor. En cuanto al Objetivo 2, se continuó con la socialización de Charlas sobre el respeto y la prudencia en los frentes de obra, ubicados en la localidad de Rafael Uribe Uribe, Bosa, Fontibón y Puente Aranda. 
De manera virtual se realizó una charla ante el grupo de residentes sociales pertenecientes a la Gerencia Ambiental, Social y Atención al Usuario (GASA). Otra de las acciones de esta actividad se basó en la prevención de la violencia hacia las mujeres en el espacio público donde se realizaron charlas por parte de la Secretaría Distrital de la Mujer en los frentes de obra ubicados en las localidades de Fontibón, Suba, Rafael Uribe y Puente Aranda.
Otra de las actividades desarrolladas para el cumplimiento del objetivo 2, es Humanizando la labor del personal en obra, en la cual se implementaron los rituales de inicio y fin en el frente de obra ubicado en el barrio Centenario/ Santiago Pérez perteneciente a la localidad de Rafael Uribe Uribe y donde también se aplicaron las encuestas de percepción ciudadana sobre el desarrollo de las obras y las encuestas de percepción de riesgo y percepción de seguridad en el desempeño de su rol en obra. 
Con respecto a las actividades transversales, se destaca la asistencia a la mesa intersectorial de cultura ciudadana, así como a la segunda mesa Institucional Ampliada de la estrategia SOMOS. 
Finalmente, se está avanzando en el desarrollo del componente nuevo dentro de la estrategia de cultura ciudadana asociado a la conservación de la malla vial y la influencia de las personas en el deterioro de las vías.
Respecto a las acciones de TMSA: el avance de 2022 es del 0.22 (75%), y del 0.57 (57%) con respecto a lo programado para la vigencia del PDD. Las principales acciones adelantadas fueron:
Para la vigencia 2022, se han adelantado una serie de acciones en el marco de la estrategia integral de Cultura Ciudadana denominada "Equipo T", que tiene como propósito fomentar la confianza, el respeto de las normas, la solidaridad entre los usuarios; así como la valoración y apropiación del Sistema Integrado de Transporte Público de Bogotá como bien público y patrimonio de la ciudad, de acuerdo con esto, en el periodo enero - septiembre, se desarrollaron 49 acciones de 66 programadas, esto equivale a un avance físico del 0,22 (de acuerdo a ponderación definida por la dependencia). A continuación, se describen las principales acciones: 
*. 1 acción pedagógica en el marco de la estrategia "tejiendo historias" de la Secretaría de Cultura.
*. Desarrollo de 6 acciones de articulación interinstitucional sobre cultura ciudadana con Entidades Distritales.
*. Implementación de 1 acción de embellecimiento de la infraestructura del Sistema a través de expresiones artísticas. 
*. Divulgación de 4 contenidos de interés relacionados con: Franja amarilla, Uso de tarjeta Tu Llave, Pago del pasaje y TMAPP.
*. Se generaron 28 noticias en medios de comunicación sobre los beneficios, servicios y/o aspectos positivos del Sistema.
*. Se implementaron 2 importantes estrategias relacionadas con: buen trato y humanización y canales de comunicación para la divulgación de información en los territorios.
*. Generación de acciones para propender por la apropiación Manual del Usuario.
Frente a las acciones logradas por la Empresa Metro de Bogotá, se encuentran: 
1. Se ha venido atendiendo el plan de acción de cultura ciudadana CM-DR-001.
2. Se adelantaron las actividades de "Recorriendo Nuestro Metro" en colegios impactando alrededor de 630 estudiantes de los grados 4to a 10mo, donde se trataron aspectos generales de Cultura Ciudadana a través de una actividad de teatro. De igual manera, se aplicaron encuestas a los estudiantes que participaron en las actividades.
3. Se implementó la estrategia Nuestros Encuentros Ciudadanos en las siguientes localidades de Bosa, Kennedy, Puente Aranda, Antonio Nariño, Mártires y, Santa Fe.
4. Se hizo entrega a la SED del nuevo Memorando de Entendimiento ya firmado por nuestra empresa.
Es de anotar que, la parametrización del sistema no permite la edición de valores mayores a 3 decimales, por tanto, el % de avance para este caso se reporta en avance y/o logros y, se deja claridad que con corte a 30 de septiembre el avance real corresponde al 0.041 del 0.09 programado para la vigencia, equivalente a un porcentaje de ejecución del 44.44%.
</t>
  </si>
  <si>
    <t>Las campañas de cultura ciudadana para el sistema de movilidad, con enfoque diferencial, de género y territorial, benefician a la ciudad en los siguientes aspectos:</t>
  </si>
  <si>
    <t xml:space="preserve">Durante el cuatrienio se ha avanzado en las siguientes acciones: 
- Referenciación para la conceptualización del modelo de calidad de prestación del servicio.
Co-creación del Modelo de Calidad con actores de la Cadena de Valor.
- Conceptualización de Modelo de Calidad para la prestación del servicio: definición de componentes del modelo: factores y atributos de calidad del Transporte Público Individual, determinación de instrumentos de medición y estrategias de implementación.
- Encuestas de percepción del usuario del servicio Transporte Público Individual -TPI: año 2020 y año 2021. En Desarrollo del Plan Piloto del Modelo de Calidad para la prestación del servicio con participación de 3 empresas de TAXI
- Plataformas tecnológicas:
- Diagnóstico de la implementación de Plataformas Tecnológicas en el servicio de Taxi.
- Construcción de requerimientos funcionales para el ajuste de API Taxis y del Sistema de Información y Registro de Conductores.
- Desarrollo de ajustes al Sistema de Información y Registro de Conductores y al esquema de funcionamiento de la interfaz de programación de aplicaciones -API- de Taxi Inteligente.
- Realización de pruebas funcionales a los desarrollos implementados y construcción del proyecto de Decreto por el cual se modifica el Decreto 456 de 2017.
- Construcción de proyectos de decreto para el ajuste del Decreto 456 de 2017 y 568 de 2017.
- Construcción de Propuesta de Pico y Placa
- Tarifa:
- Elaboración de los estudios de costos 2020 y 2021 para la definición tarifaría de esta modalidad de transporte.
- Seguimiento al algoritmo de cobro definido a través del Decreto 568 de 2017, evaluación de otras posibles alternativas de tarificación y cierre de la brecha tarifaría en la modalidad de transporte.
- Zonas amarillas
-  Priorización de 50 zonas amarillas en las localidades de Chapinero, Fontibón, Puente Aranda, Teusaquillo y Usaquén.
- Inicio consultoría con Banco Mundial para definición de nuevo concepto y esquema de administración de zonas amarillas en la ciudad de Bogotá. 
- Elaboración de 12 conceptos de viabilización de zonas amarillas en las localidades de Chapinero y Teusaquillo de los cuales 9 resultaron viables para implementación. 
- En construcción 8 conceptos de zonas amarillas en la localidad de Chapinero y Candelaria.
- Formación de conductores de taxi:  Realización de 84 jornadas de capacitación adelantadas desde el mes de junio de 2020 hasta el mes de septiembre de 2022 en áreas de conocimiento y habilidades como promoción en salud, bienestar personal y familiar y calidad del servicio, con la Secretaría Distrital de Salud, Instituto Distrital de Turismo, SENA, Policía de Turismo de Bogotá y Secretaria Distrital de Desarrollo Económico.
</t>
  </si>
  <si>
    <t>Mejorar la experiencia de viaje del usuario y del prestador del servicio de transporte público individual, a través del reporte de información de taxi, uso de plataformas por parte de los usuarios y mayor control por parte de la SDM de las tarjetas de control, así como la elaboración de estrategias de mejora que incidan en la experiencia del usuario de taxi y los prestadores del servicio. 
Así mismo, confiabilidad en el servicio y mejor experiencia de viaje en Bogotá y la Región, mediante el desarrollo de estrategias como las zonas amarillas que organizan la ciudad y dan confianza a los usuarios de taxi.</t>
  </si>
  <si>
    <t xml:space="preserve">Durante el cuatrienio se ha avanzado en las siguientes acciones:
Con el apoyo del equipo técnico de la Subdirección de Transporte Privado y la Red Muévete Mejor, se han realizado las siguientes actividades en el marco de la estrategia para aumentar la ocupación promedio del vehículo privado en la ciudad a través de la política de movilidad compartida:
1. Encuesta de gestión de la demanda y movilidad compartida, se capturaron las preferencias declaradas de más de 13.783 personas que la respondieron. La encuesta fue respondida entre el 23 de octubre y el 3 de noviembre de 2021.
2. Se publicó la Resolución 118139 de 2021, que incluye la autorización de emplear medios tecnológicos para facilitar la inscripción al permiso semanal de alta ocupación vehicular.
3. Se publicó entre el 12 y el 16 de diciembre de 2021 la resolución de intercambio de información con plataformas tecnológicas para comentarios de la ciudadanía.
4. El 24 de diciembre de 2021 se publicó la Resolución 173157 de 2021, la cual establece los requerimientos para la integración de plataformas tecnológicas para la obtención del permiso semanal por alta ocupación vehicular.
5. Con el apoyo de la Red Muévete Mejor, se realizaron charlas virtuales sobre movilidad compartida. La Red realiza permanentemente actividades de capacitación y asesoría con el objetivo de fomentar la movilidad sostenible en empresas.
6. Integración de 2 plataformas tecnológicas con el SIMUR en el marco de la Resolución 173157 de 2021. Esto facilita el uso del permiso semanal por alta ocupación vehicular a la ciudadanía en general.
7. Lanzamiento e implementación en curso del piloto de carro compartido, con la participación de 6 empresas y 2 plataformas tecnológicas.
8. Participación en 3 eventos de carácter empresarial, donde se explica el permiso y se promueven hábitos de movilidad sostenible.
4. Movilidad compartida:
5. Realizados 8.651.101 registros hasta el 23 de septiembre de 2022 (desde el inicio de la medida, el 20 de septiembre de 2020).
6. Apoyo de TUMI en consultoría para aprovechar resultados del piloto en formulación de políticas de movilidad compartida.
</t>
  </si>
  <si>
    <t>La meta no presenta retrasos a la fecha, no obstante, en el proceso de definición de los mecanismos de cobro para la siguiente etapa del programa Pico y Placa Solidario se han involucrado distintas entidades (Secretaría Distrital de Hacienda, Secretaría Distrital de Ambiente) y el Banco Interamericano de Desarrollo a través de una cooperación técnica mediante el desarrollo de una encuesta. La articulación con estas entidades ha generado algunas demoras, que no han tenido un impacto directo en la fecha prevista de entrega del proyecto.
De igual manera, en el segundo trimestre se tenían retrasos en el proceso tecnológico porque Movilab no contaba con contrato, sin embargo, una vez se resolvió esta situación, todo el equipo comenzó un apoyo a la formulación de la resolución y las reuniones de revisión de las plataformas, que se viene desarrollando de manera continua y a buen ritmo.</t>
  </si>
  <si>
    <t>La encuesta, las pruebas de las aplicaciones, la implementación de la medida de pico y placa para vehículos de alta ocupación, son componentes que contribuirán a la creación de medidas que tendrán como área de intervención, el Distrito Capital y la Región.
Con corte al 12 de junio, se tienen 1.048.001 registros de excepción al pico y placa por alta ocupación. 231.278 vehículos diferentes se han registrado en el portal dispuesto por la SDM. Cada vehículo registrado realiza 6 viajes en promedio a la semana con el permiso.</t>
  </si>
  <si>
    <t>En lo corrido del Plan de Desarrollo, y con corte a 30 de septiembre de 2022 el IDU ha mantenido 169,53 km- carril de malla vial troncal lo que conlleva a un cumplimiento del 47,09% frente a la meta PDD, dichas acciones se   realizado a través de:
- MANTENIMIENTO TRONCALES TRASNMILENIO G2 IDU-1626-2020 y IDU-1627-2020
- MANTENIMIENTO TRONCALES DE TRANSMILENIO IDU-1718-2021
IDU-1719-2021; IDU-1721-2021
- TRONCAL CARACAS TR 1 (EST. ALIMENTADORA) IDU-1601-2019
- AV. 68 ALIMENTADORA LINEA METRO - GP 3 IDU-347-2020
- AV. 68 ALIMENTADORA LINEA METRO - GP 4 IDU-348-2020
- AV. 68 ALIMENTADORA LINEA METRO - GP 6 IDU-350-2020
- AV. 68 ALIMENTADORA LINEA METRO - GP 7 IDU 351-2020
- AV. 68 ALIMENTADORA LINEA METRO - GP 9 IDU- 353-2020</t>
  </si>
  <si>
    <t>El IDU desde el incio de las troncales ha  tenido un programa recurrente  de construcción y  mantenimiento de troncales  con el cual pretende  que el sistema se mantenga  y/0 avace y por otra parte logra los siguientes beneficios:
- Avanzar en la consolidación, ampliación y conservación de la infraestructura para el subsistema de transporte del sistema de movilidad, con el Transporte Público como eje estructurador que articule los diferentes modos de transporte.
- Servicios cortos para atender la carga crítica de aquellos servicios más largos que consumen una gran cantidad de flota, en algunos casos estos son servicios de apoyo que no son visibles para el usuario.
- Servicios súper expresos que han permitido librar capacidad de las estaciones, llevando a los usuarios desde los principales orígenes a los principales destinos.
- Dada la flexibilidad del Sistema, se han creado algunas conexiones operacionales que permiten atender nuevos pares origen-destino que con el tiempo se han hecho más importantes.
- Posibilidad de circulación en tráfico mixto en condiciones de contingencia o en condiciones normales de operación como es el caso de las conexiones operacionales de la Avenida Ciudad de Villavicencio y la conexión entre las troncales Américas y NQS.
- Incorporación de flota biarticulada (buses de 250 pasajeros) para ampliar la capacidad en los corredores de mayor demanda.</t>
  </si>
  <si>
    <t>Avance Meta PDD: Meta de tipo decreciente cuyo avance es de 23,13 que representa una disminución del tiempo promedio de 0.44 minutos con respecto a lo esperado para toda la vigencia del PDD.
Al corte de septiembre 30 y con la finalización de la toma de línea base y la definición de metodología de cálculo, se realizó la consolidación del dato de tiempo promedio en minutos de acceso al transporte público, dando el resultado que se reporta en esta ejecución; este cálculo del tiempo representa el percentil 95 de las mediciones de cada grupo de estaciones y paraderos de la muestra ponderado por el peso de su respectivo grupo y, ponderado por las primeras validaciones de cada componente.</t>
  </si>
  <si>
    <t>Con la implementación de la flota troncal correspondiente a la renovación de la misma, se genera aumento de la cobertura en la ciudad, se amplía el servicio de transporte, y por ende un menor tiempo de espera.</t>
  </si>
  <si>
    <t>Durante lo corrido del cuatrienio, en la implementación de la estrategia de calidad del transporte público urbano regional el Sector Movilidad ha logrado de la siguiente manera:
1. Secretaría Distrital de Movilidad: avance del 82% para 2022.
- Desarrollo de estudios de inserción urbana del proyecto Regiotram de Occidente en Bogotá y acompañamiento a la Empresa Férrea Regional EFR en el desarrollo del estudio de tránsito para la implementación del proyecto.
- Ejecución y seguimiento de los estudios de factibilidad para la estructuración de tren de cercanías entre Bogotá y Zipaquirá denominado Regiotram del Norte. 
- Coordinación y apoyo técnico a la Secretaria Distrital de planeación (SDP) para la revisión general del Plan de Ordenamiento Territorial - POT, para la entrega de la propuesta del POT ante el Consejo Territorial de Planeación del Distrito Capital ¿ CTPD realizada el 12 de julio y ante el Concejo Distrital realizada el 10 de septiembre y sus correspondientes socializaciones ante entes de control y ciudadanía.
- Estructuración plan de trabajo y priorización de tareas, proyectos y reglamentación asociada al sistema de movilidad adoptado en el POT-Decreto Distrital 555 de 2021.
- Elaboración de reglamentación asociada al sistema de movilidad: estudios de Movilidad, proyectos de Renovación Urbana para la Movilidad Sostenible y el Plan de Movilidad Segura y Sostenible.
- Revisión de alternativas para la implementación de la ciudadela Educativa y del Cuidado en el marco de la reserva de la ALO Norte según Decreto 555 de 2021.
- Formulación del Plan de Movilidad Segura y Sostenible, en cuanto a finalización del contenido estratégico, contenido programático, estrategia de participación, proyecto de acto administrativo y plan de acción.
- Implementación del piloto de Cargue y descargue de mercancías en horarios no convencionales, donde de manera voluntaria a la fecha se tiene la participación de 53 empresas de las cuales 26 han logrado implementar modelos de distribución nocturna en la ciudad.
TMSA: el avance para la vigencia 2022  corresponde al 55% de lo programado para la vigencia.
El proyecto de Asociación Pública Privada con inciativa privada tiene como objeto estudios, diseños, financiación, contrucción, operación, mantenimiento y posterior reversión de un complejo de integración modal de la Autopista Norte - CIM Norte de Bogotá D.C, el cual se dió viabilidad y así inició fase de factibilidad.
TRANSMILENIO S.A. solicitó al originador dentro de la fase de factibilidad ajustes referentes a la atención de las necesidades de infraestructura para el transporte. Para facilitar la solución se trabajó en incorporar la utilización del predio donde opera la Terminal Satélite del Norte, que implica la elaboración de nuevos estudios de demanda y de ingeniera, además de la contraprestación para remunerar los servicios de la Terminal de Transporte.
No obstante, lo anterior el originador no atendió los requerimientos mínimos exigidos por TRANSMILENIO S.A. y no logró certeza en cuanto a las condiciones financieras del proyecto.  Por lo anterior se está trabajando en la elaboración de la resolución que declare fallida la iniciativa.</t>
  </si>
  <si>
    <t>Fortalecer los procesos de planeación, gestión y operación del sistema de movilidad urbano - regional que permita impulsar la calidad de vida de los ciudadanos y la competitividad, abarcando todos los modos de transporte y los diferentes tipos de logística y de carga para la ciudad. 
- Mitigar las externalidades negativas que genera el transporte de carga en Bogotá-Región.
- Aportar a la construcción del Modelo de Ordenamiento Territorial para la ciudad y a la conformación del Nuevo Sistema de Movilidad Multimodal y Sostenible incorporado en el nuevo POT.
- Incentivar la circulación y cargue y descargue de vehículos de carga por fuera de las horas pico de la ciudad disminuyendo la congestión vial y el impacto ambiental generado por la circulación de vehículos de carga en la ciudad.
De igual forma, la estrategia recoge todos los proyectos de expansión y mejoramiento de infraestructura para  el SITP. En particular aporta además el proyecto CIM, con el cual se permtirá el intercambio modal del transporte intermunicipal con el transporte público del Distrito Capital.</t>
  </si>
  <si>
    <t xml:space="preserve">En lo corrido del Plan de desarrollo se han implementado 1.703 ciclo parqueaderos tanto en vías como en los campamentos de las obras que se encuentran en ejecución, con lo cual se alcanza un 34,06% de cumplimiento de la meta Plan, dichos ciclo parqueaderos se encuentran ubicados así:
- ZONA ROSA (198)
- AV.ELRINCON KR91 AC131A D CR91 AV.CONEJE (104)
- CICLO PUENTE CANAL MOLINOS X AUTONORTE (18)
- AV BOSA DESDE AV C CALI HAST AV TINTAL (72)
- AV.JOSÉ C.MUTIS DE AK. 70- AV.BOYACA (96)
- AV. TINTAL DE AV. V/CIO. A  AV. BOSA.( 141)
- AV TINTAL DE AV M. CEP VARGAS A AV ALSAC (350)
- AV ALSACIA AV BOYACA Y CARRERA 71B (225) 
- AV BOSA DESDE AV C CALI HAST AV TINTAL (140)
- AV.EL RINCON DE AV.BOYACA A CRA.91 (50)
- PTE PEAT AV.LAUREANO GOMEZ AK9 X CLL112( 8)
- CALLE 116 ENTRE CRA. 7  Y AUTONORTE (20)
- AMPLIACIÓN ESTACIONES GP 2 (45)
- AV.L.GOMEZ AK9 D CL183 A CL193 ( 5)
- TM CARACAS TRAMO 1 (58)
- CANALES COMERCIALES (20)
- AV.  68 ALIMENTADORA LINEA METRO- GP 2 (15)
- AV.  68 ALIMENTADORA LINEA METRO - GP 4 (35)
- AV.  68 ALIMENTADORA LINEA METRO - GP 6 (30) 
- AV.  68 ALIMENTADORA LINEA METRO - GP 7 (12)
- Ampliación de estaciones TM - Emergencia ¿ Grupo I (16)
- Ampliación de estaciones TM - Emergencia ¿ Grupo II (16)
- CICLO PUENTE CANAL MOLINOS X AUTONORTE (11)
- PATIO LA REFORMA (10)
- AV.  68 ALIMENTADORA LINEA METRO - GP 9 (8)
En relación con la gestión adelantada por la SDM, a continuación, la gestión:
1. Cupos de cicloparqueaderos reportados en infraestructura pública: durante la vigencia 2020, 2021 y 2022 se tienen en cuenta las gestiones que se adelantan desde varios frentes, estos incluyen la cantidad de cupos permanentes (No incluye cupos de frentes de obra) que reporta el IDU dentro de la meta 388 (implementar 5000 cupos de cicloparqueaderos), adicional a ello, se involucra los cupos de entidades distritales, aquellos que se certifican con Sellos de Calidad, y el inventario parcial de cupos de cicloparqueaderos en espacio público (entre estos, parques, plazas y plazoletas) y equipamientos distritales.
Cupos de cicloparqueaderos por vigencia:
2021: 19.266
2022: 3.693 
-1451 cupos del inventario que se ha adelantado para los colegios distritales en las localidades de Ciudad Bolívar, Tunjuelito y San Cristóbal.
-90 cupos registrados por el IDU (Meta 388)
-88 cupos registrados de la Secretaría de Gobierno
-Adicional a ello, se incorporaron 1.656 cupos correspondientes al contrato de Sistema de Bicicletas Compartidas, que actualmente está adelantando la SDM, en las localidades de Bosa, Kennedy, Barrios Unidos, Chapinero, Kennedy, Teusaquillo y Usaquén
-114 cupos certificados para la ETB
-96 cupos certificados entre las Alcaldías locales de Rafael Uribe Uribe, Antonio Nariño y Chapinero
-100 cupos certificados para RTVC
-98 cupos repartidos entre la Alcaldía de Engativá, Fontibón y suba
2. Cicloparqueaderos en infraestructura privada: Los avances y logros para esta meta durante lo corrido del plan de desarrollo se realizaron a través de la realización de asesorías y visitas técnicas a las instalaciones de empresas privadas, universidades y bibliotecas en las que se prestó el servicio de cicloparqueaderos. 
Cruz verde (12) :  24 cupos
City Parking Olivos Castellana: 24 cupos
City parkig  carrera (14):  26 cupos
Cityparking rosales : 24 cupos
City Parking Jave Salud Toberin:  24 cupos
Parking international Almirante Colón: 12 cupos
Parking international edificio savio:  62 cupos
Centro Comercial Primavera Plaza:  66 cupos
Parking international edificio (811):152 cupos
Aparcar biblioteca Virgilio Barco:  42 cupos
Parqueadero Lugano:  83 cupos
Centro Empresarial Torres atrio-----343 cupos
Centro Empresarial Sarmiento Ángulo: 401 cupos
Homecenter (170): 75 cupos
Centro Comercial Bima: 30 cupos
Parqueadero público Tequendama: 164  cupos
Centro Comercial outlet las américas : 50  cupos
Homecenter Avenida el Dorado :130  cupos
City parkin u central: 24  cupos
Colpatria :  392  cupos
City Parking Ecoteck  : 128  cupos
Parking h&amp;h : 292 cupos
Centro Comercial salitre: 186 cupos
Universidad central:  120 cupos
Homcenter calle 80:  110 cupos
Éxito suba: 132 cupos
Edificio MTS Alianza:  120 cupos
City parking smart fir chapinero: 26 cupos
Edificio mts calle 93:   51 cupos
Fiesta Suba 107 cupos
Centro comercial plaza las américas: 100 cupos 
Centro Comercial mi centro Bosa: 223 cupos
Diver Plaza: 145 cupos
Ecopetrol: 128 cupos
Novonordisk: 119 cupos
Edificio megaport: 120 cupos
Parque Empresarial la estancia: 200 cupos
Centro logístico de occidental: 107 cupos
Edificio green office : 172 cupos
Parking Hotel habitel: 24 cupos
Parking jumbo calle 80: 140 cupos
Edificio teleport business: 8 cupos
Total cupos: 4.906 cupos
A su vez, se han realizado las siguientes acciones que permiten adicionar cupos a la infraestructura privada: 22 visitas a empresas privadas, que involucran la revisión del espacio, el mobiliario actual y la asesoría presentada, 9 sinergias realizadas alrededor del año con el comité Interinstitucional, 40 cicloparqueaderos certificados asociados a la estrategia de sellos de calidad divididos así (1 Universidad, 7 Centros comerciales, 17 Empresas privadas, 8 Parqueaderos fuera de vía correspondientes al Acuerdo 794, 7 Parqueaderos fuera de vía).
</t>
  </si>
  <si>
    <t xml:space="preserve">No se presentan retrasos.
</t>
  </si>
  <si>
    <t>Con la implementación de los cicloparqueaderos ha logrado incentivar el uso de la bicicleta  y la seguridad vial, asi como la mejora en la calidad de vida de los ciudadanos dado que se incrementa la actividad fisica y contemplativa del paisaje urbano.
Así mismo, estas acciones permitieron que los y las ciclistas cuenten con un lugar adecuado, seguro y cómodo para poder guardar su bicicleta, reduciendo la posibilidad del hurto y facilitando su movilidad en la ciudad.</t>
  </si>
  <si>
    <t>En lo transcurrido del Plan de Desarrollo, la meta ha logrado el cumplimiento del 100% para 2020 y 2021. Para 2022 el avance se encuentra en el 75% conforme a lo programado para la vigencia.
La implementación y operación del Centro de Orientación a Víctimas ORVI, desde sus tres líneas de intervención en cuanto a atención, formación e investigación, ha permitido a la ciudadanía el acercamiento y apoyo en sus condiciones postsiniestro.
Desde el inicio de operaciones del Centro de Orientación a Víctimas entre diciembre de 2020 hasta la fecha, 670 personas han accedido a servicio gratuito de acogida, orientación jurídica, social y psicológica.</t>
  </si>
  <si>
    <t xml:space="preserve">El principal beneficio del Centro de Orientación a Victimas de Siniestros Viales está definido por tener un componente de atención social a personas víctimas pos siniestro. Esta orientación social cuenta con la evaluación de las condiciones sociales de la víctima que haya sido afectada por consecuencia del siniestro vial, lo que facilita la posibilidad de brindarle información acerca de los programas sociales vigentes ofrecidos por el Distrito, en los que de manera voluntaria pudieron inscribirse de acuerdo con sus intereses y necesidades propios, y condiciones de cada programa, obteniendo herramientas para adaptarse a sus nuevas condiciones de vida.
</t>
  </si>
  <si>
    <t>En lo corrido del Plan de desarrollo se ha realizado el mejoramiento de 23 estaciones con lo cual se alcanza un avance en el PDD del 53,49%, acciones que se han ejecutado a través de los siguientes puntos de inversión:
Ampliaciones de estaciones al sistema TM GP 1 (9) IDU-971-2020
Ampliación de estaciones de emergencia GP 1 (6) IDU-1318-2018
Ampliación de estaciones de emergencia GP 2 (3) IDU-972-2020
Ampliación de estaciones TM - Emergencia ¿ Grupo (2) III IDU-973-2020
Ampliación de estaciones TM GP 2 urgencia manifiesta (2) IDU-973-2020
Ampliación de estaciones GP 3 (1) IDU-1536-2018
En relación con las acciones adelantadas por parte de TMSA, el avance para las vigencias 2020 y 2021 fue de 100% de acuerdo con lo programado para cada vigencia. Para el año 2022 el avance corresponde al 75% de lo programado para este 2022.  
El estado físico es el siguiente:
Estaciones en operación: Américas - De la Sabana, Américas - Carrera 43, NQS - Calle 38 Sur, NQS Madelena, NQS - Santa Isabel, Américas - Zona Industrial, Américas - CDS Carrera 32, NQS Alquería, NQS - Calle 30 Sur, Caracas Fucha, Caracas  Quiroga, Caracas Consuelo, Suba - Humedal Córdoba, Suba - San Martín, Calle 80 - Minuto de Dios, Calle 80 Polo, Suba  Gratamira, Américas - Puente Aranda, NQS - Av. El Dorado, Autopista Norte Virrey, Autopista Norte - Pepe Sierra, Autopista Norte - Calle 127, Suba Tv. 91 (con pendientes para recibo), Suba-Avenida Boyacá.
Estaciones en construcción: Calle 80 - Av. Cali, Calle 80 - Carrera 90, Suba Shaio, Caracas - Calle 40 sur, Caracas  Restrepo, Calle 80 Boyacá, NQS Venecia, Suba - 21 Ángeles, NQS General Santander (con pendientes para recibo).
Estaciones en estudios y diseños: Caracas Nariño, Caracas  Olaya, Caracas Socorro, NQS - Universidad Nacional, NQS CAD, NQS Ricaurte, Suba Campiña, Suba - Puente Largo, Autopista Norte - Calle 187, Autopista Norte - Terminal.</t>
  </si>
  <si>
    <t>El mejoramiento de la capacidad de las estaciones del componente troncal del sistema integrado de transporte público incide positivamente en el nivel de servicio de las estaciones a los usuarios y en la cantidad de buses hora que puede soportar cada estación.</t>
  </si>
  <si>
    <t>Meta de tipo constante cuyo avance para las vigencias 2020 y 2021 fue de 100% de acuerdo con lo programado para cada vigencia. Para el año 2022 el avance corresponde al 75% de lo programado para este 2022. A continuación, el detalle:
*. La Empresa de Renovación de Desarrollo Urbano ERU se encuentra revisando la formulación del Plan Parcial de Renovación Urbana PPRU. La Secretaría Distrital de Planeación remitió para revisión el documento soporte de formulación, el cual se encuentra en revisión. Con base en las respuestas de todas las entidades se tendrá la adopción del plan parcial.
*. La ERU se encuentra realizando acercamientos con una entidad extranjera para realizar la estructuración y la prefactibilidad del proyecto.
*. Se inició gestión de saneamiento predial de los bienes de propiedad de TRANSMILENIO S.A., mediante convenio 614 de 2019 para separar las áreas afectas a la infraestructura de transporte de las áreas de desarrollo inmobiliario del PPRU según Decreto 822 de 2019. Se revisó y firmó la minuta de extinción de propiedad horizontal, se adelantó el trámite de pago de impuestos prediales y actualmente se sigue trámite notarial. Se revisó la minuta de englobe y desenglobe de predios, la cual deberá ser tramitada en notaría una vez culminado el proceso con la minuta de extinción de propiedad horizontal.
*. TRANSMILENIO S.A. elaboró documento de parámetros técnicos y de infraestructura de la estación que integra con otros modos de transporte y las troncales del sistema.
ERU plantea dos alternativas, implantar CAD II y sede IDU, avanzar sin normatividad de derecho real de superficie y la norma PEMP Centro Histórico.
Por parte del IDU y con corte a 30 de septiebre  de 2022  se ha  construido  3 patio portal con lo cual presenta un avance del 50% frente a la meta del plan de desarrollo, dicha inversiones se realizo en el siguiente punto
PATIO PORTAL AMERICAS
PATIO PORTAL SUR
PATIO PORTAL TUNAL</t>
  </si>
  <si>
    <t>Meta de tipo constante cuyo avance para las vigencias 2020 y 2021 fue de 100% de acuerdo con lo programado para cada vigencia. Para el año 2022 el avance corresponde al 75% de lo programado para este 2022.
En lo que corresponde al avance de las actividades tendientes a garantizar el cumplimiento de la meta propuesta, durante al periodo objeto del reporte se dio continuidad a la ejecución de los contratos CTO 1114-21 y CTO 1115-21 (mantenimiento e interventoría respectivamente). Contratos por medio de los cuales se continúan ejecutando y garantizando los mantenimientos requeridos por la infraestructura del Sistema Integrado de Trasporte Público (componente Bus Rapid Transit-BRT).</t>
  </si>
  <si>
    <t>El mantenimiento de infraestructura es necesario para la preservación de los diferentes elementos que componen la infraestructura del Sistema, manteniendo las condiciones de seguridad y confiabilidad.</t>
  </si>
  <si>
    <t>Con corte a 30 de septiembre de 2022 se han construido 3 patios portal, lo cual presenta un avance del 50% frente a la meta del plan de desarrollo, dicha inversión se realizó en los siguientes puntos: 
PATIO PORTAL AMERICAS
PATIO PORTAL SUR
PATIO PORTAL TUNAL
Frente a las acciones adelantadas por TMSA, para las vigencias 2020 y 2021 el avance fue del 100% de acuerdo con lo programado para cada vigencia. Para el año 2022 el avance corresponde al 75% de lo programado para este 2022. A continuación el detalle en patios troncales y zonales:
*. Gaco: contrato de factibilidad estudios y diseños, programado: En trámite de aprobaciones y permisos de entidades públicas.
*. Alameda: se encuentra en fase de liquidación de estudios y diseños.
*. San José: IDU entregó alternativa 3 de prefactibilidad. Pendiente se resuelvan los problemas de falsa tradición de predios necesarios para el acceso al polígono.
*. La Reforma: la etapa de construcción del patio presenta un porcentual programado del 71,5% contra un ejecutado del 54,08% presentando una deviación aproximada del 17%, esto teniendo en cuenta que se debe tener una adición presupuestal que permita la finalización completa del proyecto.
*. Carboquímica: acompañamiento a los procesos con SDA para la remediación del predio. Se remitió oficio al IDU para desistir de la compra del predio por la falta de avance y solución a los temas ambientales.
*. Patio Soacha Ciudad de Cali: se adelantaron gestiones con los desarrolladores inmobiliarios de ciudad verde y la alcaldía de Soacha, para evaluar el predio más apropiado para la implantación de la infraestructura de transporte. Se está pendiente de la aprobación del POT de Soacha.
Es preciso indicar, que mediante comunicación 2-2022-141674 la SDH autorizó el trasaldo de recursos de esta meta para financiar FET, con la indicación de desfinanciación de los proyectos asociados a la meta.</t>
  </si>
  <si>
    <t>Con la implementacion de los patio portal, se pretende mejorar el sistema integrado de transporte  en cuanto a la  capacidad que tendría cada patio portal para la aglomeracóon de la flota de buses articulados y biarticulados. Igualmente, implementar la infraestructura soporte del SITP necesaria para atender los componentes troncal y zonal.</t>
  </si>
  <si>
    <t xml:space="preserve">En lo corrido del Plan de Desarrollo y con corte a septiembre de 2022 esta meta presenta un avance general del 8,31% que corresponden a 2,46 Kilómetros de corredores de transporte masivo ejecutados. 
A continuación, se presentan los avances de cada uno de los proyectos que en la medida de su ejecución alimentarán la meta con los km correspondientes:
- Extensión Troncal Caracas Tramo I - Molinos al portal Usme: el proyecto contempla la construcción de las obras de infraestructura para la movilidad requeridas para la adecuación de la Extensión Troncal Caracas en 4.2 km, en el sector comprendido entre la actual estación Molinos y el Portal de Usme. Las obras consisten en la construcción de dos carriles exclusivos para el Sistema Transmilenio, construcción de carriles mixtos, construcción de dos estaciones de Transmilenio, adecuación de cicloruta, espacio público y zonas verdes. En lo corrido del PDD se lleva un avance del 52,05%. En lo que respecta a la vigencia 2022, se cuenta con un avance físico del 34,31% y se destacan actividades de ejecución en la nueva estación Molinos la cual tiene un avance del 50%, conformación de espacio público, adecuación de desvíos, construcción de carriles BRT y mixtos, construcción de cicloruta, construcción del Puente vehicular quebrada Chiguaza (avance del 32%) y construcción de un puente peatonal.
- TM Av. 68: Este proyecto consiste en la construcción para la adecuación al sistema Transmilenio de la Av. Congreso Eucarístico (carrera 68) desde la carrera 9 hasta la autopista sur, dividida en 9 grupos de obra, los cuales a la fecha en su gran mayoría realizan actividades de traslado y adecuación de redes de servicios públicos, actividades silviculturales, excavaciones y conformaciones de las estructuras de pavimento en carriles BRT y mixtos, trabajos en estructuras (Grupo 2: intersección elevada calle 3ra, Grupo 3: deprimido conectante BRT Av las americas y Av 68, Grupo 5: reforzamiento de puente vehicular Av 68 con calle 26, Grupo 6: ciclopuente frente al parque Simón Bolívar, Grupo 7: puente BRT a la altura de c.c Cafam Floresta, Grupo 8: traslado de estación Calle 100 Troncal Suba, Grupo 9: montaje puente peatonal conéctate Auto norte y calle 100 . En lo corrido del PDD se cuenta con un porcentaje de avance del 18% y para la vigencia 2022 del 14%.
- TM Av. Ciudad de Cali: este proyecto consiste en la construcción para la adecuación al sistema Transmilenio de la Troncal AV. Ciudad de Cali Tramo 1 ¿ entre la AV. Circunvalar del Sur y la AV. Manuel Cepeda Vargas dividida en 4 grupos de obra, el 29 de septiembre el grupo 4 cambio de etapa y actualmente los 4 grupos se encuentran en etapa de construcción. En lo corrido del PDD se lleva un avance del 14,7%, y para la vigencia 2022 un avance del 13%. Se están realizando labores de traslado y adecuación de redes de servicios públicos, conformación de espacio público, excavaciones y conformaciones de las estructuras de pavimento en carriles BRT y mixtos, construcción de estaciones y montaje de puente peatonal frente al Portal de las Américas.
En relación con las actividades a cargo de TMSA, el avance para las vigencias 2020 y 2021 fue de 100% de acuerdo con lo programado para cada vigencia. Para el año 2022 el avance corresponde al 75% de lo programado para este 2022. 
En lo referido al estado de cada proyecto se tiene: la extensión Troncal Caracas se encuentra en etapa de construcción desde el 12 de agosto de 2020, en Troncal 68 los nueve contratos se encuentran en etapa de construcción, se adelantan las reuniones pertinentes con el IDU para evaluar al avance de cada uno de ellos en la etapa., en Troncal Avenida Ciudad de Cali los cuatro tramos iniciaron etapas de construcción. Para todos los contratos se hace seguimiento permanente a todos los contratos de obra, a través de reuniones, comités, comunicaciones y el comité IDU TMSA, en la extensión troncal Av. Calle 26 al Aeropuerto: se entregaron al IDU los parámetros técnicos operaciones y de infraestructura.
</t>
  </si>
  <si>
    <t>A continuación, los beneficios por proyecto:
1. TM Av. 68: El proyecto beneficia a toda la población de la ciudad de Bogotá principalmente en las localidades de Engativá, Fontibón, Kennedy, Tunjuelito, Puente Aranda, Teusaquillo, Barrios Unidos, Suba, Usaquén y Chapinero. Con la construcción de la Troncal 68 se mejora la productividad de la ciudad y la región mediante acciones coordinadas sobre los subsistemas vial, de transporte y de regulación y control del tráfico, que tiendan a la generación de un sistema de transporte de pasajeros urbano regional integrado. Incrementa y mejora el espacio público, el espacio peatonal y la infraestructura pública disponible e incentivar el sentido de pertenencia de los habitantes de Bogotá. Mejora la calidad de la movilidad y la accesibilidad que provee el Distrito Capital para todos los usuarios peatones, ciclistas, usuarios del transporte público colectivo e individual, así como del transporte privado, entre otros.
2. Extensión Troncal Caracas Tramo I - Molinos al portal Usme
Beneficia a todos los habitantes de la ciudad de Bogotá y en especial 334.234 habitantes  en el área de influencia del proyecto  los cuales corresponden en su mayoría a un estrato socioeconómico 1 y 2 y se encuentran en sectores consolidados. Disminución de los tiempos de desplazamiento gracias a la ampliación de sus vías de acceso principales y su adecuación al sistema Transmilenio
Mejora las condiciones de servicio y de seguridad vial para los automotores con la adecuación de 4.2 kilómetros de vía. Mejora las condiciones de movilidad de los bici usuarios con la instalación de una ciclorruta de 3.5 kilómetros. Garantiza un corredor peatonal entre el portal de Usme y la estación de Molinos. Mejora el acceso de las condiciones de servicio de Transmilenio de los habitantes del barrio el Danubio, con la construcción de la estación denominada el Danubio.
3. Av. Ciudad de Cali: Beneficia a todos los habitantes de la ciudad de Bogotá y en especial  1.194.768 Habitantes de las localidades de Bosa y Kennedy
Incrementa y mejora el espacio público, el espacio peatonal y la infraestructura pública disponible e incentivar el sentido de pertenencia de los habitantes de Bogotá. Mejora la calidad de la movilidad disminuyendo los de tiempos de viaje y mejora la accesibilidad que provee el Distrito Capital para todos los usuarios peatones, ciclistas, usuarios del transporte público colectivo e individual, así como del transporte privado. Amplia la red de corredores Troncales de la Ciudad, mejorando las condiciones de cobertura, accesibilidad, costos, seguridad, conectividad y de beneficio social para los ciudadanos con el fin de superar el déficit de oferta de infraestructura y de servicios de transporte en la ciudad y atender la demanda de pasajeros. Desestimula el uso del vehículo particular y a mejorar la calidad de vida de los habitantes y visitantes de Bogotá. Mejorar las condiciones de movilidad en el Distrito Capital Cumpliendo además con el rol de alimentación de la PRIMERA LÍNEA DE METRO DE BOGOTÁ. Este corredor servirá más adelante para comunicar el municipio de Soacha Cundinamarca y el Distrito (Ciudad Verde) conexión vial y de espacio público conectando al municipio de Soacha con la primera línea del metro.</t>
  </si>
  <si>
    <t>Meta de tipo constante cuyo avance para las vigencias 2020 y 2021 fue de 100% de acuerdo con lo programado para cada vigencia. Para el año 2022 el avance corresponde al 75% de lo programado para este 2022.
En estructuración del proyecto. En ejecución los contratos de consultoría e interventoría adjudicados por el IDU. El avance del proyecto en estudios y diseños es 66.67% en promedio</t>
  </si>
  <si>
    <t>El corredor verde ofrecerá una solución urbanística sustentable y de movilidad para el sector oriental de la ciudad. La administración distrital diseñará y construirá un corredor verde sobre la carrera séptima. A diferencia de un corredor tradicional en el que se privilegia el transporte usando energías fósiles, transporte masivo en troncal y de vehículos particulares, en un corredor verde, como el que se hará en la carrera séptima, se privilegia el uso de energías limpias, el espacio público peatonal y formas de movilidad alternativa como la bicicleta. El corredor verde, además se diseñará con participación ciudadana incidente, como un espacio seguro con enfoque de tolerancia cero a las muertes ocasionadas por siniestros de tránsito, que proteja el patrimonio cultural, que promueva la arborización urbana, que garantice un mejor alumbrado público, la operación de un sistema de bicicletas, la pacificación de tránsito y que mejore la calidad del aire a través del impulso a la electrificación de los vehículos que por ahí circulen. </t>
  </si>
  <si>
    <t>Avance Meta PDD: Se cuenta con un Plan de Acción conjunto con la SAUC, que incluye para los temas de evasión liderados por la DTS: Corresponsabilidad institucional, Alianza con Fundación Otero Liévano, Categoría de Smart Films y premiación de cortos sobre el Sistema y sobre la importancia de 
validar el pago
Presencia de Gestores de Convivencia TM sensibilizando sobre el pago del pasaje, aplicación del Decreto 042 de 2022 con actividades de Programa Comunitario en las estaciones; acciones conjuntas con acercamiento a colegios, universidades y propuestas para trabajo con empresas y SENA. 
Se adelantaron 5 jornadas de Gestor de Convivencia por Un Día, como actividad de programa comunitario para infractores en su mayoría por evasión del pago, para subrograr multas entre 2017 y 2022.
Adicionalmente se viene trabajando con la Secretaría Distrital de Cultura, una estrategia global de Cultura Ciudadana y de comunicaciones en materia de evasión del pago. Al cierre del tercer trimestre se tiene el documento de la primera fase de la estrategia denominada TransMiAmigo.
Se avanzó en la ejecución del diseño del software de inteligencia artificial en el marco del contrato 1157-21.
Se hizo seguimiento a la provisión e instalación de cámaras en el marco del Contrato de adquisición de cámaras para el conteo de la evasión y eventos de seguridad, 1232-21. Se tienen 342 cámaras en producción, y 9 cámaras pendientes de entrar a producción de datos para brindar un 90% de precisión 
actualmente para el SIDEST. Correo OlgaQ.07102022</t>
  </si>
  <si>
    <t>A pesar del avance en la implementación de las acciones del Plan Estratégico Anti Evasión, los datos que miden la evasión actual dan cuenta que no se ha logrado mejora alguna para lograr disminución de la misma sin embargo y como medida de choque y mitigación se realizó un nuevo diseño del modelo
de seguridad y vigilancia para el Sistema, de acuerdo con los recursos asignados a la Dirección, de igual manera, se sigue implementando la estrategia de reguladores de evasión como nuevo esquema de disuasión y contención en portales y estaciones críticos. A 30 de septiembre de 2022 habían 
ingresado 321 reguladores</t>
  </si>
  <si>
    <t>A continuación, los principales beneficios:
Mayor presencia institucional en portales, estaciones, paraderos y buses previniendo la evasión del pago y fomentando el buen uso del Sistema. 
Sensibilización sobre la importancia del pago del pasaje para usuarios del Sistema y ciudadanía en general.
Monitoreo de la evasión y búsqueda de soluciones tecnológicas para seguimiento en tiempo real del fenómeno. 
Mediciones del impacto de las estrategias frente a la evasión del pago para mejorar focalización de recursos, puntos y acciones de intervención. 
Avance en la toma de decisiones gerenciales y ejecución de estrategias que permitan mitigar la evasión del pago a través de acciones de infraestructura de puertas y BCAs. Concesionarios del Componente Zonal y TRANSMILENIO S.A. trabajando juntos para minimizar la evasión de pago en el SITP. 
Fiscalización y sanción a evasores del pago para buscar sanción y no repetición del comportamiento. 
Abstención de conducta de evasión del pago por parte de algunas personas, gracias a acciones de disuasión de personal de vigilancia privada y de Gestores de Convivencia TM. Control y judicialización a revendedores ilegales de pasajes para el ingreso al Sistema. Sensibilización a la ciudadanía sobre la elusión del pago (reventa de pasajes) como un delito que afecta la seguridad y la sostenibilidad del Sistema.</t>
  </si>
  <si>
    <t xml:space="preserve">En lo corrido del plan de Desarrollo 2020- 2022, entre los avances más destacados con el fin de alcanzar la meta, la Secretaría Distrital de Movilidad_SDM evaluó el estudio presentado por Transmilenio S.A., para el aumento de tarifas 2020 y participó en la proyección del Decreto Distrital 073 de 2020 por 
el cual se actualizaron las tarifas del SITP. Este Decreto aumentó la tarifa general del sistema y congeló la tarifa para las poblaciones adulto mayor y personas con menor capacidad de pago, con el fin de avanzar hacia una política tarifaria más incluyente y se mantuvo en el 2022. Así mismo el Decreto 
Distrital 005 de 2022 Por medio del cual se actualiza la tarifa del servicio del Sistema integrado de Transporte Público - SITP en sus componentes zonal y troncal, y se dictan otras disposiciones, mantiene las tarifas para las poblaciones adulto mayor y personas con menor capacidad de pago en el 2022.
Es importante mencionar que la pandemia ha afectado el desarrollo socioeconómico de los hogares, disminuyendo los ingresos de las familias y dificultando el desarrollo de política pública a largo plazo. 
Se proyectó Decreto para el cambio del beneficio para la población con menor capacidad de pago pasando de utilizar la base de datos de Sisben 3 a Sisben 4. En el mismo será incluida la población Indígena.
Es importante señalar que la programación y cumplimiento corrido Plan de Desarrollo corresponde a los datos de la línea base, teniendo en cuenta que la producción de información estadística en el Distrito se realiza regularmente en periodos de 4 años, como es el caso de la encuesta de movilidad (fuente 
de información para la medición del indicador). No obstante, la SDM revisó la metodología utilizando otras fuentes de información secundaria con periodicidad anual, como la Medición de Pobreza Monetaria y Desigualdad 2021 publicada por el DANE y el Informe de gasto de los hogares en Bogotá ( 
realizado por la firma Raddar Consumer Knowledge Group).
La utilización de fuentes de información diferentes a las utilizadas en la línea base permite hacer un seguimiento del comportamiento preliminar del indicador, no obstante se resalta que los resultados obtenidos están significativamente alejados de la línea base, teniendo en cuenta que las variables y 
técnicas para la captura y/o análisis de la información de cada fuente (por ejemplo: el tamaño de la muestra, la composición de la población, los estadísticos utilizados, el margen de error, entre otros) son diferentes frente a los utilizados en la medición de la línea base.
Una vez revisada la viabilidad de la información suministrada por el DANE 2021, se calculó el gasto de los hogares para 2021 con el fin de tener una medición parcial del indicador, sin embargo la medición definitiva del mismo se dará con los datos de la encuesta de movilidad 2023.
</t>
  </si>
  <si>
    <t>Se propende satisfacer las necesidades de movilidad en la ciudad de Bogotá-Región, de una manera eficiente, segura y sostenible que conlleven a que la proporción del gasto en transporte público de los hogares de mayor vulnerabilidad sea menor, garantizando sostenibilidad del sistema de transporte.</t>
  </si>
  <si>
    <t>A continuación, se describen las actividades realizadas en el tercer trimestre de la vigencia en lo que respecta al avance de la Meta PDD 400 ¿ Alcanzar el 100% del proceso de contratación para la expansión de la PLMB-Fase2. Estos, son: 
1. Se continúa adelantando la Fase 3 la cual es de preparación de los documentos para el proceso licitatorio, se continúa con el análisis y tienen relación con los siguientes entregables: 
2. Se adelanta el análisis de los siguientes entregables: 5 - Topografía y Demanda, 6 - Diseño geométrico vial; Geotecnia y pavimentos; Material rodante; Diseño geométrico sistema metro, 7 - Plan de Operación Preliminar y Plan de Operación Preliminar, 8 - Proyecto de Túnel, 9 ¿ Estructuras, 10 - 
Estaciones y Edificios, 11 Urbanismo y paisajismo; Patios y talleres, Otros componentes tales como ley del Contrato, otros.
3. Se recibió el entregable 2.2 ¿ resumen ejecutivo de los estudios y diseños de factibilidad.
4. Se continúa con el análisis de los entregables referentes a los documentos técnicos y financieros para la posible implementación de la extensión de la PLMB: 4 - Diseño geométrico vial, Geotecnia y pavimentos y Diseño geométrico férreo, 6 - Estructuras, Estaciones y edificios, Urbanismo y paisajismo, 
Movilidad, Redes de servicios, 7 - Predial y Estudio de impacto ambiental y social, 8 - Señalización y control de trenes, Telecomunicaciones, RAMS, Alimentación eléctrica y tracción, Superestructura de vía, 9 - BIM, CAPEX, Programa de obra y flujo de inversiones, OPEX, Beneficio Costo, Estudio, análisis
y gestión de riesgos técnicos, 10 - Levantamiento de información Financiera e Identificación y Análisis De Alternativas financieras de La Extensión, 11 - Implementación de la Estructura Financiera, 12 - Modelo Financiero, 13 - Elaboración de los documentos necesarios para la adición de La Extensión; 
Acompañamiento en el Proceso de Negociación, 14 - Informe Final.
Frente a la Línea 2 del Metro de Bogotá se ha adelantado lo siguiente:
1. Obtención del Aval Técnico por parte del Ministerio de Transporte.
2. Consecución del Aval Fiscal de Distrito y de la Nación.
3. Obtención Declaración de Importancia Estratégica del Consejo de Gobierno Distrital, así como el CONPES de declaratoria de importancia estratégica.
4. Suscripción y firma del Convenio de Cofinanciación entre la Nación y el Distrito Capital.
5. Se continúa trabajando en otros trámites programados para el cumplimiento del cronograma previsto, como por ejemplo la búsqueda de financiación del proyecto</t>
  </si>
  <si>
    <t>No se presentan retrasos</t>
  </si>
  <si>
    <t>Los beneficios de la Primera Línea del Metro de Bogotá Tramo 1 (PLMB-T1) se centran en que esta ha sido concebida bajo parámetros de eficiencia energética y medioambiental, operará con luz y ventilación natural, lo cual representa ahorros muy
importantes en las fases de obras y operación, sin costo para el usuario y sin costo para el planeta. Los trenes operarán con energías limpias, el sistema será ciento por ciento eléctrico y generará miles de empleos para la mano de obra colombiana.</t>
  </si>
  <si>
    <t>EMB - Indicador: Porcentaje de Avance en el ciclo del proyecto PLMB - Tramo 1
A continuación, se describen las actividades realizadas en el primer trimestre de la vigencia en lo que respecta al avance de la Meta PDD 401 Alcanzar el 60% del ciclo de vida del proyecto PLMB-T1. Estos, son:
1. El % de obra presentado equivalente al 1.17 corresponde al avance total de la etapa preoperativa del contrato de concesión con corte al 15 de marzo, teniendo en cuenta que es la cifra oficial con la que se cuenta al momento del reporte. El %
acumulado ejecutado de la curva temprana es del 4,43%
2. Se presentaron informes del PMO correspondientes a los meses de diciembre 2021, enero y febrero de 2022, aprobando los informes de noviembre y diciembre 2021, los restantes están en proceso de ajuste por parte de la PMO para su posterior
aprobación y pago.
3. Se recibieron los informes de interventoría de diciembre 2021, enero y febrero 2022, aprobando los informes mensuales N° 14 correspondiente a octubre de 2021, N° 15 correspondiente a noviembre 2021 y el N° 16 correspondiente a diciembre 2021,
los restantes están en proceso de ajuste por parte de la Interventoría para su posterior aprobación y pago.
4. Se colocaron a disposición del concesionario 369 predios. Entregas surtidas de la siguiente forma: 3 predios pertenecientes a la Estación 10, 366 predios los cuales fueron notificados a través de comunicación externo y los cuales se está a la espera
del recibo a satisfacción por parte del concesionario.
5. Finalmente, se ejecutaron 8 interferencias discriminadas de la siguiente manera: Enero=EAB-01 Y COD-00, Febrero=EAB-03 Y COD-02 Y Marzo= ETB-38, ETB-39, ETB-42 Y ETB 43.</t>
  </si>
  <si>
    <t>En lo corrido del Plan Distrital de Desarrollo se ha logrado el aumento del número de vehículos de cero y bajas emisiones con un resultado a 31 de agosto de 2022, de 6.634 vehículos de cero y bajas emisiones registrados, 4.513 de éstos son vehículos eléctricos y 2.121 vehículos dedicados a gas natural vehicular. En cuanto a los puntos públicos de carga rápida se está creando el marco legal, actualmente la ciudad cuenta con 5 puntos de carga rápida, 4 nuevas desde la entrada en vigencia del PDD.</t>
  </si>
  <si>
    <t>En lo corrido del Plan de Desarrollo el tiempo promedio de viajes se ha logrado mantener por debajo de los 50 minutos, sin embargo, durante la vigencia 2022 éste presentó un incremento debido principalmente a medidas como el Pico y Placa, dinámicas de salida y retorno de usuarios de las vías, el retorno de los colegios a la modaliad presencial, épocas de lluvia, y al incremento en los frentes de obras para mejorar la infraestructura vial de la ciudad y así poder mejorar la movilidad y la caidad de vida de los ciudadanos. Es preciso indicar, que durante esta vigencia se han implementado diferentes medidas de alto impacto para mejorar la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</si>
</sst>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0.0%"/>
    <numFmt numFmtId="181" formatCode="_-* #,##0.00_-;\-* #,##0.00_-;_-* &quot;-&quot;_-;_-@_-"/>
    <numFmt numFmtId="182" formatCode="_-* #,##0.0_-;\-* #,##0.0_-;_-* &quot;-&quot;_-;_-@_-"/>
    <numFmt numFmtId="183" formatCode="#,##0.0"/>
    <numFmt numFmtId="184" formatCode="0.000"/>
    <numFmt numFmtId="185" formatCode="#,##0,,"/>
    <numFmt numFmtId="186" formatCode="&quot;$&quot;\ #,##0"/>
    <numFmt numFmtId="187" formatCode="_-* #,##0.0000_-;\-* #,##0.0000_-;_-* &quot;-&quot;_-;_-@_-"/>
  </numFmts>
  <fonts count="27"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sz val="10"/>
      <name val="Arial Narrow"/>
      <family val="2"/>
    </font>
    <font>
      <b/>
      <sz val="10"/>
      <name val="Arial Narrow"/>
      <family val="2"/>
    </font>
    <font>
      <sz val="10"/>
      <color theme="0"/>
      <name val="Arial Narrow"/>
      <family val="2"/>
    </font>
    <font>
      <sz val="10"/>
      <color theme="1"/>
      <name val="Arial Narrow"/>
      <family val="2"/>
    </font>
    <font>
      <sz val="10"/>
      <color rgb="FF000000"/>
      <name val="Arial Narrow"/>
      <family val="2"/>
    </font>
    <font>
      <sz val="11"/>
      <name val="Arial Narrow"/>
      <family val="2"/>
    </font>
    <font>
      <sz val="10"/>
      <name val="Arial"/>
      <family val="2"/>
    </font>
  </fonts>
  <fills count="7">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34998626667073579"/>
        <bgColor indexed="64"/>
      </patternFill>
    </fill>
    <fill>
      <patternFill patternType="solid">
        <fgColor theme="0"/>
        <bgColor indexed="64"/>
      </patternFill>
    </fill>
  </fills>
  <borders count="1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s>
  <cellStyleXfs count="145">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3" fontId="26" fillId="0" borderId="0" applyFont="0" applyFill="0" applyBorder="0" applyAlignment="0" applyProtection="0"/>
  </cellStyleXfs>
  <cellXfs count="184">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20"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20" fillId="0" borderId="0" xfId="0" applyFont="1" applyBorder="1" applyAlignment="1">
      <alignment horizontal="right" vertical="center" wrapText="1"/>
    </xf>
    <xf numFmtId="9" fontId="20" fillId="0" borderId="0" xfId="99" applyFont="1" applyBorder="1" applyAlignment="1">
      <alignment horizontal="justify" vertical="center" wrapText="1"/>
    </xf>
    <xf numFmtId="0" fontId="20" fillId="6" borderId="0" xfId="0" applyFont="1" applyFill="1" applyBorder="1" applyAlignment="1">
      <alignment horizontal="right" vertical="center" wrapText="1"/>
    </xf>
    <xf numFmtId="41" fontId="20" fillId="0" borderId="0" xfId="112" applyFont="1" applyBorder="1" applyAlignment="1">
      <alignment horizontal="right" vertical="center" wrapText="1"/>
    </xf>
    <xf numFmtId="185" fontId="20" fillId="0" borderId="0" xfId="0" applyNumberFormat="1" applyFont="1" applyBorder="1" applyAlignment="1">
      <alignment horizontal="right" vertical="center" wrapText="1"/>
    </xf>
    <xf numFmtId="0" fontId="20" fillId="0" borderId="0" xfId="0" applyFont="1" applyAlignment="1">
      <alignment horizontal="justify" vertical="center" wrapText="1"/>
    </xf>
    <xf numFmtId="0" fontId="22" fillId="0" borderId="0" xfId="0" applyFont="1" applyBorder="1" applyAlignment="1">
      <alignment horizontal="justify" vertical="center" wrapText="1"/>
    </xf>
    <xf numFmtId="0" fontId="21" fillId="0" borderId="0" xfId="0" applyFont="1" applyAlignment="1">
      <alignment horizontal="justify" vertical="center" wrapText="1"/>
    </xf>
    <xf numFmtId="0" fontId="20" fillId="6" borderId="0" xfId="0" applyFont="1" applyFill="1" applyAlignment="1">
      <alignment horizontal="justify" vertical="center" wrapText="1"/>
    </xf>
    <xf numFmtId="2" fontId="20" fillId="6" borderId="3" xfId="0" applyNumberFormat="1" applyFont="1" applyFill="1" applyBorder="1" applyAlignment="1" applyProtection="1">
      <alignment horizontal="right" vertical="center" wrapText="1"/>
      <protection locked="0"/>
    </xf>
    <xf numFmtId="0" fontId="20" fillId="6" borderId="3" xfId="0" applyFont="1" applyFill="1" applyBorder="1" applyAlignment="1" applyProtection="1">
      <alignment horizontal="right" vertical="center" wrapText="1"/>
      <protection locked="0"/>
    </xf>
    <xf numFmtId="4" fontId="20" fillId="6" borderId="3" xfId="142" applyNumberFormat="1" applyFont="1" applyFill="1" applyBorder="1" applyAlignment="1" applyProtection="1">
      <alignment horizontal="right" vertical="center" wrapText="1"/>
      <protection locked="0"/>
    </xf>
    <xf numFmtId="2" fontId="20" fillId="6" borderId="3" xfId="0" applyNumberFormat="1" applyFont="1" applyFill="1" applyBorder="1" applyAlignment="1" applyProtection="1">
      <alignment vertical="center" wrapText="1"/>
      <protection locked="0"/>
    </xf>
    <xf numFmtId="10" fontId="20" fillId="6" borderId="3" xfId="99" applyNumberFormat="1" applyFont="1" applyFill="1" applyBorder="1" applyAlignment="1" applyProtection="1">
      <alignment vertical="center" wrapText="1"/>
      <protection locked="0"/>
    </xf>
    <xf numFmtId="181" fontId="20" fillId="6" borderId="3" xfId="0" applyNumberFormat="1" applyFont="1" applyFill="1" applyBorder="1" applyAlignment="1" applyProtection="1">
      <alignment horizontal="right" vertical="center" wrapText="1"/>
      <protection locked="0"/>
    </xf>
    <xf numFmtId="10" fontId="20" fillId="6" borderId="3" xfId="99" applyNumberFormat="1" applyFont="1" applyFill="1" applyBorder="1" applyAlignment="1" applyProtection="1">
      <alignment horizontal="right" vertical="center" wrapText="1"/>
      <protection locked="0"/>
    </xf>
    <xf numFmtId="0" fontId="20" fillId="6" borderId="0" xfId="0" applyFont="1" applyFill="1" applyBorder="1" applyAlignment="1">
      <alignment horizontal="justify" vertical="center" wrapText="1"/>
    </xf>
    <xf numFmtId="41" fontId="20" fillId="6" borderId="3" xfId="112" applyFont="1" applyFill="1" applyBorder="1" applyAlignment="1" applyProtection="1">
      <alignment vertical="center"/>
      <protection locked="0"/>
    </xf>
    <xf numFmtId="4" fontId="20" fillId="6" borderId="3" xfId="112" applyNumberFormat="1" applyFont="1" applyFill="1" applyBorder="1" applyAlignment="1" applyProtection="1">
      <alignment horizontal="right" vertical="center" wrapText="1"/>
      <protection locked="0"/>
    </xf>
    <xf numFmtId="0" fontId="20" fillId="6" borderId="3" xfId="0" applyFont="1" applyFill="1" applyBorder="1" applyAlignment="1" applyProtection="1">
      <alignment vertical="center" wrapText="1"/>
      <protection locked="0"/>
    </xf>
    <xf numFmtId="41" fontId="20" fillId="6" borderId="3" xfId="0" applyNumberFormat="1" applyFont="1" applyFill="1" applyBorder="1" applyAlignment="1" applyProtection="1">
      <alignment horizontal="right" vertical="center" wrapText="1"/>
      <protection locked="0"/>
    </xf>
    <xf numFmtId="9" fontId="20" fillId="6" borderId="3" xfId="99" applyFont="1" applyFill="1" applyBorder="1" applyAlignment="1" applyProtection="1">
      <alignment horizontal="right" vertical="center" wrapText="1"/>
      <protection locked="0"/>
    </xf>
    <xf numFmtId="0" fontId="20" fillId="6" borderId="3" xfId="0" applyFont="1" applyFill="1" applyBorder="1" applyAlignment="1">
      <alignment horizontal="justify" vertical="center" wrapText="1"/>
    </xf>
    <xf numFmtId="4" fontId="20" fillId="6" borderId="3" xfId="0" applyNumberFormat="1" applyFont="1" applyFill="1" applyBorder="1" applyAlignment="1" applyProtection="1">
      <alignment vertical="center" wrapText="1"/>
      <protection locked="0"/>
    </xf>
    <xf numFmtId="4" fontId="20" fillId="6" borderId="3" xfId="112" applyNumberFormat="1" applyFont="1" applyFill="1" applyBorder="1" applyAlignment="1">
      <alignment vertical="center" wrapText="1"/>
    </xf>
    <xf numFmtId="4" fontId="20" fillId="6" borderId="3" xfId="112" applyNumberFormat="1" applyFont="1" applyFill="1" applyBorder="1" applyAlignment="1" applyProtection="1">
      <alignment vertical="center" wrapText="1"/>
      <protection locked="0"/>
    </xf>
    <xf numFmtId="3" fontId="20" fillId="6" borderId="3" xfId="0" applyNumberFormat="1" applyFont="1" applyFill="1" applyBorder="1" applyAlignment="1" applyProtection="1">
      <alignment horizontal="right" vertical="center" wrapText="1"/>
      <protection locked="0"/>
    </xf>
    <xf numFmtId="10" fontId="20" fillId="6" borderId="3" xfId="99" applyNumberFormat="1" applyFont="1" applyFill="1" applyBorder="1" applyAlignment="1" applyProtection="1">
      <alignment horizontal="right" vertical="center"/>
      <protection locked="0"/>
    </xf>
    <xf numFmtId="9" fontId="20" fillId="6" borderId="3" xfId="99" applyFont="1" applyFill="1" applyBorder="1" applyAlignment="1" applyProtection="1">
      <alignment vertical="center" wrapText="1"/>
      <protection locked="0"/>
    </xf>
    <xf numFmtId="180" fontId="20" fillId="6" borderId="3" xfId="99" applyNumberFormat="1" applyFont="1" applyFill="1" applyBorder="1" applyAlignment="1" applyProtection="1">
      <alignment vertical="center" wrapText="1"/>
      <protection locked="0"/>
    </xf>
    <xf numFmtId="4" fontId="20" fillId="6" borderId="3" xfId="142" applyNumberFormat="1" applyFont="1" applyFill="1" applyBorder="1" applyAlignment="1" applyProtection="1">
      <alignment vertical="center" wrapText="1"/>
      <protection locked="0"/>
    </xf>
    <xf numFmtId="181" fontId="20" fillId="6" borderId="3" xfId="142" applyNumberFormat="1" applyFont="1" applyFill="1" applyBorder="1" applyAlignment="1" applyProtection="1">
      <alignment horizontal="right" vertical="center" wrapText="1"/>
      <protection locked="0"/>
    </xf>
    <xf numFmtId="41" fontId="20" fillId="6" borderId="3" xfId="142" applyNumberFormat="1" applyFont="1" applyFill="1" applyBorder="1" applyAlignment="1" applyProtection="1">
      <alignment horizontal="right" vertical="center" wrapText="1"/>
      <protection locked="0"/>
    </xf>
    <xf numFmtId="41" fontId="20" fillId="6" borderId="3" xfId="142" applyFont="1" applyFill="1" applyBorder="1" applyAlignment="1" applyProtection="1">
      <alignment horizontal="right" vertical="center" wrapText="1"/>
      <protection locked="0"/>
    </xf>
    <xf numFmtId="10" fontId="20" fillId="6" borderId="3" xfId="99" applyNumberFormat="1" applyFont="1" applyFill="1" applyBorder="1" applyAlignment="1" applyProtection="1">
      <alignment vertical="center"/>
      <protection locked="0"/>
    </xf>
    <xf numFmtId="4" fontId="20" fillId="6" borderId="3" xfId="0" applyNumberFormat="1" applyFont="1" applyFill="1" applyBorder="1" applyAlignment="1">
      <alignment horizontal="right" vertical="center" wrapText="1"/>
    </xf>
    <xf numFmtId="4" fontId="20" fillId="6" borderId="0" xfId="0" applyNumberFormat="1" applyFont="1" applyFill="1" applyBorder="1" applyAlignment="1" applyProtection="1">
      <alignment vertical="center" wrapText="1"/>
      <protection locked="0"/>
    </xf>
    <xf numFmtId="0" fontId="20" fillId="6" borderId="0" xfId="0" applyFont="1" applyFill="1" applyBorder="1" applyAlignment="1" applyProtection="1">
      <alignment horizontal="justify" vertical="center" wrapText="1"/>
      <protection locked="0"/>
    </xf>
    <xf numFmtId="9" fontId="20" fillId="6" borderId="0" xfId="99" applyFont="1" applyFill="1" applyBorder="1" applyAlignment="1" applyProtection="1">
      <alignment horizontal="justify" vertical="center" wrapText="1"/>
      <protection locked="0"/>
    </xf>
    <xf numFmtId="3" fontId="20" fillId="6" borderId="3" xfId="142" applyNumberFormat="1" applyFont="1" applyFill="1" applyBorder="1" applyAlignment="1" applyProtection="1">
      <alignment horizontal="right" vertical="center"/>
      <protection locked="0"/>
    </xf>
    <xf numFmtId="181" fontId="20" fillId="6" borderId="3" xfId="112" applyNumberFormat="1" applyFont="1" applyFill="1" applyBorder="1" applyAlignment="1" applyProtection="1">
      <alignment vertical="center" wrapText="1"/>
      <protection locked="0"/>
    </xf>
    <xf numFmtId="183" fontId="20" fillId="6" borderId="3" xfId="142" applyNumberFormat="1" applyFont="1" applyFill="1" applyBorder="1" applyAlignment="1" applyProtection="1">
      <alignment horizontal="right" vertical="center"/>
      <protection locked="0"/>
    </xf>
    <xf numFmtId="46" fontId="20" fillId="6" borderId="3" xfId="0" applyNumberFormat="1" applyFont="1" applyFill="1" applyBorder="1" applyAlignment="1" applyProtection="1">
      <alignment horizontal="justify" vertical="center" wrapText="1"/>
    </xf>
    <xf numFmtId="0" fontId="21" fillId="6" borderId="6" xfId="0" applyFont="1" applyFill="1" applyBorder="1" applyAlignment="1">
      <alignment horizontal="justify" vertical="center" wrapText="1"/>
    </xf>
    <xf numFmtId="9" fontId="21" fillId="6" borderId="0" xfId="99" applyFont="1" applyFill="1" applyBorder="1" applyAlignment="1">
      <alignment horizontal="justify" vertical="center" wrapText="1"/>
    </xf>
    <xf numFmtId="0" fontId="20" fillId="6" borderId="0" xfId="0" applyFont="1" applyFill="1" applyBorder="1" applyAlignment="1">
      <alignment horizontal="right" vertical="center"/>
    </xf>
    <xf numFmtId="0" fontId="21" fillId="6" borderId="0" xfId="0" applyFont="1" applyFill="1" applyBorder="1" applyAlignment="1">
      <alignment horizontal="right" vertical="center" wrapText="1"/>
    </xf>
    <xf numFmtId="41" fontId="21" fillId="6" borderId="0" xfId="112" applyFont="1" applyFill="1" applyBorder="1" applyAlignment="1">
      <alignment horizontal="right" vertical="center" wrapText="1"/>
    </xf>
    <xf numFmtId="185" fontId="20" fillId="6" borderId="0" xfId="0" applyNumberFormat="1" applyFont="1" applyFill="1" applyBorder="1" applyAlignment="1">
      <alignment horizontal="right" vertical="center" wrapText="1"/>
    </xf>
    <xf numFmtId="185" fontId="20" fillId="6" borderId="0" xfId="0" applyNumberFormat="1" applyFont="1" applyFill="1" applyAlignment="1">
      <alignment horizontal="right" vertical="center" wrapText="1"/>
    </xf>
    <xf numFmtId="2" fontId="20" fillId="6" borderId="3" xfId="0" applyNumberFormat="1" applyFont="1" applyFill="1" applyBorder="1" applyAlignment="1">
      <alignment horizontal="justify" vertical="center" wrapText="1"/>
    </xf>
    <xf numFmtId="9" fontId="20" fillId="6" borderId="0" xfId="99" applyFont="1" applyFill="1" applyBorder="1" applyAlignment="1">
      <alignment horizontal="justify" vertical="center" wrapText="1"/>
    </xf>
    <xf numFmtId="41" fontId="20" fillId="6" borderId="0" xfId="112" applyFont="1" applyFill="1" applyBorder="1" applyAlignment="1">
      <alignment horizontal="right" vertical="center" wrapText="1"/>
    </xf>
    <xf numFmtId="41" fontId="20" fillId="6" borderId="0" xfId="112" applyFont="1" applyFill="1" applyBorder="1" applyAlignment="1">
      <alignment horizontal="justify" vertical="center" wrapText="1"/>
    </xf>
    <xf numFmtId="181" fontId="20" fillId="6" borderId="0" xfId="0" applyNumberFormat="1" applyFont="1" applyFill="1" applyBorder="1" applyAlignment="1">
      <alignment horizontal="right" vertical="center" wrapText="1"/>
    </xf>
    <xf numFmtId="41" fontId="20" fillId="6" borderId="3" xfId="112" applyFont="1" applyFill="1" applyBorder="1" applyAlignment="1">
      <alignment horizontal="justify" vertical="center" wrapText="1"/>
    </xf>
    <xf numFmtId="41" fontId="20" fillId="6" borderId="0" xfId="0" applyNumberFormat="1" applyFont="1" applyFill="1" applyBorder="1" applyAlignment="1">
      <alignment horizontal="right" vertical="center" wrapText="1"/>
    </xf>
    <xf numFmtId="181" fontId="20" fillId="6" borderId="0" xfId="112" applyNumberFormat="1" applyFont="1" applyFill="1" applyBorder="1" applyAlignment="1">
      <alignment horizontal="justify" vertical="center" wrapText="1"/>
    </xf>
    <xf numFmtId="0" fontId="20" fillId="0" borderId="0" xfId="0" applyFont="1" applyAlignment="1">
      <alignment horizontal="right" vertical="center" wrapText="1"/>
    </xf>
    <xf numFmtId="9" fontId="20" fillId="0" borderId="0" xfId="99" applyFont="1" applyAlignment="1">
      <alignment horizontal="justify" vertical="center" wrapText="1"/>
    </xf>
    <xf numFmtId="0" fontId="20" fillId="6" borderId="0" xfId="0" applyFont="1" applyFill="1" applyAlignment="1">
      <alignment horizontal="right" vertical="center" wrapText="1"/>
    </xf>
    <xf numFmtId="41" fontId="20" fillId="0" borderId="0" xfId="112" applyFont="1" applyAlignment="1">
      <alignment horizontal="right" vertical="center" wrapText="1"/>
    </xf>
    <xf numFmtId="185" fontId="20" fillId="0" borderId="0" xfId="0" applyNumberFormat="1" applyFont="1" applyAlignment="1">
      <alignment horizontal="right" vertical="center" wrapText="1"/>
    </xf>
    <xf numFmtId="184" fontId="20" fillId="0" borderId="0" xfId="0" applyNumberFormat="1" applyFont="1" applyAlignment="1">
      <alignment horizontal="right" vertical="center" wrapText="1"/>
    </xf>
    <xf numFmtId="2" fontId="20" fillId="0" borderId="0" xfId="0" applyNumberFormat="1" applyFont="1" applyAlignment="1">
      <alignment horizontal="right" vertical="center" wrapText="1"/>
    </xf>
    <xf numFmtId="0" fontId="21" fillId="0" borderId="0" xfId="0" applyFont="1" applyBorder="1" applyAlignment="1">
      <alignment horizontal="right" vertical="center" wrapText="1"/>
    </xf>
    <xf numFmtId="2" fontId="21" fillId="6" borderId="3" xfId="0" applyNumberFormat="1" applyFont="1" applyFill="1" applyBorder="1" applyAlignment="1" applyProtection="1">
      <alignment horizontal="right" vertical="center" wrapText="1"/>
      <protection locked="0"/>
    </xf>
    <xf numFmtId="4" fontId="21" fillId="6" borderId="3" xfId="112" applyNumberFormat="1" applyFont="1" applyFill="1" applyBorder="1" applyAlignment="1">
      <alignment horizontal="right" vertical="center" wrapText="1"/>
    </xf>
    <xf numFmtId="4" fontId="21" fillId="6" borderId="3" xfId="142" applyNumberFormat="1" applyFont="1" applyFill="1" applyBorder="1" applyAlignment="1">
      <alignment horizontal="right" vertical="center" wrapText="1"/>
    </xf>
    <xf numFmtId="4" fontId="21" fillId="6" borderId="3" xfId="112" applyNumberFormat="1" applyFont="1" applyFill="1" applyBorder="1" applyAlignment="1" applyProtection="1">
      <alignment horizontal="right" vertical="center" wrapText="1"/>
      <protection locked="0"/>
    </xf>
    <xf numFmtId="4" fontId="21" fillId="6" borderId="3" xfId="142" applyNumberFormat="1" applyFont="1" applyFill="1" applyBorder="1" applyAlignment="1" applyProtection="1">
      <alignment horizontal="right" vertical="center" wrapText="1"/>
      <protection locked="0"/>
    </xf>
    <xf numFmtId="0" fontId="21" fillId="0" borderId="0" xfId="0" applyFont="1" applyAlignment="1">
      <alignment horizontal="right" vertical="center" wrapText="1"/>
    </xf>
    <xf numFmtId="0" fontId="25" fillId="0" borderId="0" xfId="0" applyFont="1" applyFill="1" applyBorder="1" applyAlignment="1">
      <alignment horizontal="justify" vertical="center" wrapText="1"/>
    </xf>
    <xf numFmtId="0" fontId="21" fillId="5" borderId="3" xfId="0" applyFont="1" applyFill="1" applyBorder="1" applyAlignment="1" applyProtection="1">
      <alignment horizontal="justify" vertical="center" wrapText="1"/>
    </xf>
    <xf numFmtId="0" fontId="21" fillId="5" borderId="3" xfId="0" applyFont="1" applyFill="1" applyBorder="1" applyAlignment="1" applyProtection="1">
      <alignment horizontal="justify" vertical="center" wrapText="1"/>
      <protection locked="0"/>
    </xf>
    <xf numFmtId="0" fontId="21" fillId="5" borderId="3" xfId="0" applyFont="1" applyFill="1" applyBorder="1" applyAlignment="1" applyProtection="1">
      <alignment horizontal="right" vertical="center" wrapText="1"/>
      <protection locked="0"/>
    </xf>
    <xf numFmtId="0" fontId="21" fillId="5" borderId="3" xfId="0" applyFont="1" applyFill="1" applyBorder="1" applyAlignment="1" applyProtection="1">
      <alignment horizontal="right" vertical="center"/>
      <protection locked="0"/>
    </xf>
    <xf numFmtId="41" fontId="21" fillId="5" borderId="3" xfId="112" applyFont="1" applyFill="1" applyBorder="1" applyAlignment="1" applyProtection="1">
      <alignment horizontal="center" vertical="center" wrapText="1"/>
      <protection locked="0"/>
    </xf>
    <xf numFmtId="185" fontId="21" fillId="5" borderId="3" xfId="113" applyNumberFormat="1" applyFont="1" applyFill="1" applyBorder="1" applyAlignment="1" applyProtection="1">
      <alignment horizontal="center" vertical="center" wrapText="1"/>
      <protection locked="0"/>
    </xf>
    <xf numFmtId="43" fontId="20" fillId="6" borderId="3" xfId="0" applyNumberFormat="1" applyFont="1" applyFill="1" applyBorder="1" applyAlignment="1" applyProtection="1">
      <alignment horizontal="right" vertical="center" wrapText="1"/>
      <protection locked="0"/>
    </xf>
    <xf numFmtId="43" fontId="0" fillId="0" borderId="0" xfId="144" applyFont="1"/>
    <xf numFmtId="43" fontId="0" fillId="0" borderId="0" xfId="0" applyNumberFormat="1"/>
    <xf numFmtId="0" fontId="20" fillId="6" borderId="3" xfId="0" applyFont="1" applyFill="1" applyBorder="1" applyAlignment="1" applyProtection="1">
      <alignment horizontal="right" vertical="center"/>
      <protection locked="0"/>
    </xf>
    <xf numFmtId="185" fontId="20" fillId="6" borderId="3" xfId="143" applyNumberFormat="1" applyFont="1" applyFill="1" applyBorder="1" applyAlignment="1" applyProtection="1">
      <alignment horizontal="right" vertical="center" wrapText="1"/>
      <protection locked="0"/>
    </xf>
    <xf numFmtId="185" fontId="20" fillId="6" borderId="3" xfId="113" applyNumberFormat="1" applyFont="1" applyFill="1" applyBorder="1" applyAlignment="1" applyProtection="1">
      <alignment horizontal="right" vertical="center" wrapText="1"/>
      <protection locked="0"/>
    </xf>
    <xf numFmtId="41" fontId="20" fillId="6" borderId="3" xfId="112" applyFont="1" applyFill="1" applyBorder="1" applyAlignment="1" applyProtection="1">
      <alignment horizontal="right" vertical="center" wrapText="1"/>
      <protection locked="0"/>
    </xf>
    <xf numFmtId="0" fontId="20" fillId="6" borderId="3" xfId="0" applyFont="1" applyFill="1" applyBorder="1" applyAlignment="1" applyProtection="1">
      <alignment horizontal="justify" vertical="center" wrapText="1"/>
      <protection locked="0"/>
    </xf>
    <xf numFmtId="0" fontId="20" fillId="6" borderId="3" xfId="0" applyFont="1" applyFill="1" applyBorder="1" applyAlignment="1">
      <alignment horizontal="justify" vertical="center" wrapText="1"/>
    </xf>
    <xf numFmtId="41" fontId="20" fillId="6" borderId="3" xfId="112" applyFont="1" applyFill="1" applyBorder="1" applyAlignment="1">
      <alignment horizontal="right" vertical="center"/>
    </xf>
    <xf numFmtId="185" fontId="20" fillId="6" borderId="3" xfId="143" applyNumberFormat="1" applyFont="1" applyFill="1" applyBorder="1" applyAlignment="1">
      <alignment horizontal="right" vertical="center" wrapText="1"/>
    </xf>
    <xf numFmtId="185" fontId="20" fillId="6" borderId="3" xfId="143" applyNumberFormat="1" applyFont="1" applyFill="1" applyBorder="1" applyAlignment="1">
      <alignment horizontal="right" vertical="center"/>
    </xf>
    <xf numFmtId="0" fontId="20" fillId="6" borderId="3" xfId="0" applyFont="1" applyFill="1" applyBorder="1" applyAlignment="1" applyProtection="1">
      <alignment horizontal="justify" vertical="center" wrapText="1"/>
    </xf>
    <xf numFmtId="4" fontId="20" fillId="6" borderId="3" xfId="142" applyNumberFormat="1" applyFont="1" applyFill="1" applyBorder="1" applyAlignment="1" applyProtection="1">
      <alignment horizontal="right" vertical="center"/>
      <protection locked="0"/>
    </xf>
    <xf numFmtId="0" fontId="20" fillId="6" borderId="3" xfId="0" applyFont="1" applyFill="1" applyBorder="1" applyAlignment="1">
      <alignment horizontal="right" vertical="center" wrapText="1"/>
    </xf>
    <xf numFmtId="4" fontId="20" fillId="6" borderId="3" xfId="0" applyNumberFormat="1" applyFont="1" applyFill="1" applyBorder="1" applyAlignment="1" applyProtection="1">
      <alignment horizontal="right" vertical="center" wrapText="1"/>
      <protection locked="0"/>
    </xf>
    <xf numFmtId="180" fontId="20" fillId="6" borderId="3" xfId="99" applyNumberFormat="1" applyFont="1" applyFill="1" applyBorder="1" applyAlignment="1" applyProtection="1">
      <alignment horizontal="right" vertical="center" wrapText="1"/>
      <protection locked="0"/>
    </xf>
    <xf numFmtId="41" fontId="20" fillId="0" borderId="0" xfId="0" applyNumberFormat="1" applyFont="1" applyAlignment="1">
      <alignment horizontal="right" vertical="center" wrapText="1"/>
    </xf>
    <xf numFmtId="43" fontId="20" fillId="0" borderId="0" xfId="0" applyNumberFormat="1" applyFont="1" applyAlignment="1">
      <alignment horizontal="right" vertical="center" wrapText="1"/>
    </xf>
    <xf numFmtId="181" fontId="20" fillId="0" borderId="0" xfId="0" applyNumberFormat="1" applyFont="1" applyAlignment="1">
      <alignment horizontal="right" vertical="center" wrapText="1"/>
    </xf>
    <xf numFmtId="0" fontId="21" fillId="5" borderId="15" xfId="0" applyFont="1" applyFill="1" applyBorder="1" applyAlignment="1" applyProtection="1">
      <alignment horizontal="center" vertical="center" wrapText="1"/>
      <protection locked="0"/>
    </xf>
    <xf numFmtId="0" fontId="21" fillId="5" borderId="16"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11" xfId="0" applyFont="1" applyFill="1" applyBorder="1" applyAlignment="1" applyProtection="1">
      <alignment horizontal="center" vertical="center" wrapText="1"/>
      <protection locked="0"/>
    </xf>
    <xf numFmtId="0" fontId="21" fillId="5" borderId="12" xfId="0" applyFont="1" applyFill="1" applyBorder="1" applyAlignment="1" applyProtection="1">
      <alignment horizontal="center" vertical="center" wrapText="1"/>
      <protection locked="0"/>
    </xf>
    <xf numFmtId="0" fontId="21" fillId="5" borderId="17"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9"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6" xfId="0" applyFont="1" applyFill="1" applyBorder="1" applyAlignment="1" applyProtection="1">
      <alignment horizontal="center" vertical="center" wrapText="1"/>
      <protection locked="0"/>
    </xf>
    <xf numFmtId="9" fontId="21" fillId="5" borderId="13" xfId="99" applyFont="1" applyFill="1" applyBorder="1" applyAlignment="1" applyProtection="1">
      <alignment horizontal="center" vertical="center" wrapText="1"/>
      <protection locked="0"/>
    </xf>
    <xf numFmtId="9" fontId="21" fillId="5" borderId="14" xfId="99" applyFont="1" applyFill="1" applyBorder="1" applyAlignment="1" applyProtection="1">
      <alignment horizontal="center" vertical="center" wrapText="1"/>
      <protection locked="0"/>
    </xf>
    <xf numFmtId="9" fontId="21" fillId="5" borderId="6" xfId="99"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4" fontId="20" fillId="6" borderId="3" xfId="0" applyNumberFormat="1" applyFont="1" applyFill="1" applyBorder="1" applyAlignment="1" applyProtection="1">
      <alignment horizontal="right" vertical="center"/>
      <protection locked="0"/>
    </xf>
    <xf numFmtId="181" fontId="20" fillId="6" borderId="3" xfId="112" applyNumberFormat="1" applyFont="1" applyFill="1" applyBorder="1" applyAlignment="1" applyProtection="1">
      <alignment horizontal="right" vertical="center"/>
      <protection locked="0"/>
    </xf>
    <xf numFmtId="41" fontId="20" fillId="6" borderId="3" xfId="112" applyFont="1" applyFill="1" applyBorder="1" applyAlignment="1" applyProtection="1">
      <alignment horizontal="right" vertical="center"/>
      <protection locked="0"/>
    </xf>
    <xf numFmtId="41" fontId="20" fillId="6" borderId="3" xfId="112" applyFont="1" applyFill="1" applyBorder="1" applyAlignment="1" applyProtection="1">
      <alignment horizontal="right" vertical="center" wrapText="1"/>
      <protection locked="0"/>
    </xf>
    <xf numFmtId="0" fontId="21" fillId="5" borderId="4" xfId="0" applyFont="1" applyFill="1" applyBorder="1" applyAlignment="1">
      <alignment horizontal="justify" vertical="center" textRotation="255" wrapText="1"/>
    </xf>
    <xf numFmtId="0" fontId="21" fillId="5" borderId="5" xfId="0" applyFont="1" applyFill="1" applyBorder="1" applyAlignment="1">
      <alignment horizontal="justify" vertical="center" textRotation="255" wrapText="1"/>
    </xf>
    <xf numFmtId="0" fontId="21" fillId="6" borderId="5" xfId="0" applyFont="1" applyFill="1" applyBorder="1" applyAlignment="1">
      <alignment horizontal="justify" vertical="center" textRotation="255" wrapText="1"/>
    </xf>
    <xf numFmtId="0" fontId="20" fillId="6" borderId="3" xfId="0" applyFont="1" applyFill="1" applyBorder="1" applyAlignment="1" applyProtection="1">
      <alignment horizontal="justify" vertical="center" wrapText="1"/>
      <protection locked="0"/>
    </xf>
    <xf numFmtId="4" fontId="20" fillId="6" borderId="3" xfId="142" applyNumberFormat="1" applyFont="1" applyFill="1" applyBorder="1" applyAlignment="1" applyProtection="1">
      <alignment horizontal="right" vertical="center"/>
      <protection locked="0"/>
    </xf>
    <xf numFmtId="0" fontId="20" fillId="6" borderId="3" xfId="0" applyFont="1" applyFill="1" applyBorder="1" applyAlignment="1" applyProtection="1">
      <alignment horizontal="right" vertical="center"/>
      <protection locked="0"/>
    </xf>
    <xf numFmtId="4" fontId="20" fillId="6" borderId="3" xfId="0" applyNumberFormat="1" applyFont="1" applyFill="1" applyBorder="1" applyAlignment="1" applyProtection="1">
      <alignment horizontal="right" vertical="center" wrapText="1"/>
      <protection locked="0"/>
    </xf>
    <xf numFmtId="182" fontId="20" fillId="6" borderId="3" xfId="112" applyNumberFormat="1" applyFont="1" applyFill="1" applyBorder="1" applyAlignment="1" applyProtection="1">
      <alignment horizontal="right" vertical="center"/>
      <protection locked="0"/>
    </xf>
    <xf numFmtId="0" fontId="20" fillId="6" borderId="3" xfId="0" applyFont="1" applyFill="1" applyBorder="1" applyAlignment="1">
      <alignment horizontal="justify" vertical="center" wrapText="1"/>
    </xf>
    <xf numFmtId="0" fontId="20" fillId="6" borderId="3" xfId="0" applyFont="1" applyFill="1" applyBorder="1" applyAlignment="1" applyProtection="1">
      <alignment horizontal="justify" vertical="center" wrapText="1"/>
    </xf>
    <xf numFmtId="0" fontId="21" fillId="6" borderId="3" xfId="0" applyFont="1" applyFill="1" applyBorder="1" applyAlignment="1">
      <alignment horizontal="justify" vertical="center" wrapText="1"/>
    </xf>
    <xf numFmtId="0" fontId="20" fillId="6" borderId="3" xfId="0" quotePrefix="1" applyFont="1" applyFill="1" applyBorder="1" applyAlignment="1">
      <alignment horizontal="justify" vertical="center" wrapText="1"/>
    </xf>
    <xf numFmtId="0" fontId="20" fillId="6" borderId="3" xfId="0" applyFont="1" applyFill="1" applyBorder="1" applyAlignment="1">
      <alignment horizontal="right" vertical="center" wrapText="1"/>
    </xf>
    <xf numFmtId="41" fontId="20" fillId="6" borderId="3" xfId="112" applyFont="1" applyFill="1" applyBorder="1" applyAlignment="1">
      <alignment horizontal="right" vertical="center" wrapText="1"/>
    </xf>
    <xf numFmtId="182" fontId="20" fillId="6" borderId="3" xfId="112" applyNumberFormat="1" applyFont="1" applyFill="1" applyBorder="1" applyAlignment="1">
      <alignment horizontal="right" vertical="center" wrapText="1"/>
    </xf>
    <xf numFmtId="181" fontId="20" fillId="6" borderId="3" xfId="112" applyNumberFormat="1" applyFont="1" applyFill="1" applyBorder="1" applyAlignment="1">
      <alignment horizontal="right" vertical="center" wrapText="1"/>
    </xf>
    <xf numFmtId="0" fontId="21" fillId="6" borderId="6" xfId="0" applyFont="1" applyFill="1" applyBorder="1" applyAlignment="1">
      <alignment horizontal="right" vertical="center" wrapText="1"/>
    </xf>
    <xf numFmtId="0" fontId="21" fillId="5" borderId="3" xfId="0" applyFont="1" applyFill="1" applyBorder="1" applyAlignment="1">
      <alignment horizontal="center" vertical="center" wrapText="1"/>
    </xf>
    <xf numFmtId="180" fontId="20" fillId="6" borderId="3" xfId="99" applyNumberFormat="1" applyFont="1" applyFill="1" applyBorder="1" applyAlignment="1">
      <alignment horizontal="right" vertical="center" wrapText="1"/>
    </xf>
    <xf numFmtId="187" fontId="20" fillId="6" borderId="3" xfId="112" applyNumberFormat="1" applyFont="1" applyFill="1" applyBorder="1" applyAlignment="1">
      <alignment horizontal="right" vertical="center" wrapText="1"/>
    </xf>
    <xf numFmtId="0" fontId="21" fillId="6" borderId="6" xfId="0" applyFont="1" applyFill="1" applyBorder="1" applyAlignment="1">
      <alignment horizontal="justify" vertical="center" wrapText="1"/>
    </xf>
    <xf numFmtId="9" fontId="20" fillId="6" borderId="3" xfId="99" applyFont="1" applyFill="1" applyBorder="1" applyAlignment="1">
      <alignment horizontal="right" vertical="center" wrapText="1"/>
    </xf>
    <xf numFmtId="0" fontId="21" fillId="5" borderId="3" xfId="0" applyFont="1" applyFill="1" applyBorder="1" applyAlignment="1">
      <alignment horizontal="justify" vertical="center" wrapText="1"/>
    </xf>
    <xf numFmtId="0" fontId="20" fillId="0" borderId="3" xfId="0" applyFont="1" applyFill="1" applyBorder="1" applyAlignment="1" applyProtection="1">
      <alignment horizontal="justify" vertical="center"/>
    </xf>
    <xf numFmtId="0" fontId="21" fillId="6" borderId="3" xfId="0" applyFont="1" applyFill="1" applyBorder="1" applyAlignment="1">
      <alignment horizontal="justify" vertical="center"/>
    </xf>
    <xf numFmtId="0" fontId="21" fillId="0" borderId="3" xfId="0" applyFont="1" applyFill="1" applyBorder="1" applyAlignment="1" applyProtection="1">
      <alignment horizontal="justify" vertical="center" wrapText="1"/>
    </xf>
    <xf numFmtId="15" fontId="20" fillId="0" borderId="3" xfId="0" applyNumberFormat="1" applyFont="1" applyFill="1" applyBorder="1" applyAlignment="1">
      <alignment horizontal="justify" vertical="center" wrapText="1"/>
    </xf>
    <xf numFmtId="0" fontId="20" fillId="0" borderId="7" xfId="0" applyFont="1" applyFill="1" applyBorder="1" applyAlignment="1" applyProtection="1">
      <alignment horizontal="justify" vertical="center" wrapText="1"/>
    </xf>
    <xf numFmtId="0" fontId="20" fillId="0" borderId="8" xfId="0" applyFont="1" applyFill="1" applyBorder="1" applyAlignment="1" applyProtection="1">
      <alignment horizontal="justify" vertical="center" wrapText="1"/>
    </xf>
    <xf numFmtId="0" fontId="20" fillId="0" borderId="9" xfId="0" applyFont="1" applyFill="1" applyBorder="1" applyAlignment="1" applyProtection="1">
      <alignment horizontal="justify" vertical="center" wrapText="1"/>
    </xf>
    <xf numFmtId="185" fontId="20" fillId="6" borderId="3" xfId="143" applyNumberFormat="1" applyFont="1" applyFill="1" applyBorder="1" applyAlignment="1">
      <alignment horizontal="right" vertical="center" wrapText="1"/>
    </xf>
    <xf numFmtId="41" fontId="20" fillId="6" borderId="3" xfId="112" applyNumberFormat="1" applyFont="1" applyFill="1" applyBorder="1" applyAlignment="1" applyProtection="1">
      <alignment horizontal="right" vertical="center"/>
      <protection locked="0"/>
    </xf>
    <xf numFmtId="185" fontId="20" fillId="6" borderId="3" xfId="143" applyNumberFormat="1" applyFont="1" applyFill="1" applyBorder="1" applyAlignment="1">
      <alignment horizontal="right" vertical="center"/>
    </xf>
    <xf numFmtId="41" fontId="20" fillId="6" borderId="3" xfId="112" applyFont="1" applyFill="1" applyBorder="1" applyAlignment="1">
      <alignment horizontal="right" vertical="center"/>
    </xf>
    <xf numFmtId="185" fontId="20" fillId="6" borderId="3" xfId="113" applyNumberFormat="1" applyFont="1" applyFill="1" applyBorder="1" applyAlignment="1" applyProtection="1">
      <alignment horizontal="right" vertical="center" wrapText="1"/>
      <protection locked="0"/>
    </xf>
    <xf numFmtId="185" fontId="20" fillId="6" borderId="3" xfId="143" applyNumberFormat="1" applyFont="1" applyFill="1" applyBorder="1" applyAlignment="1" applyProtection="1">
      <alignment horizontal="right" vertical="center" wrapText="1"/>
      <protection locked="0"/>
    </xf>
    <xf numFmtId="186" fontId="21" fillId="5" borderId="10" xfId="113" applyNumberFormat="1" applyFont="1" applyFill="1" applyBorder="1" applyAlignment="1" applyProtection="1">
      <alignment horizontal="center" vertical="center" wrapText="1"/>
      <protection locked="0"/>
    </xf>
    <xf numFmtId="186" fontId="21" fillId="5" borderId="0" xfId="113" applyNumberFormat="1" applyFont="1" applyFill="1" applyBorder="1" applyAlignment="1" applyProtection="1">
      <alignment horizontal="center" vertical="center" wrapText="1"/>
      <protection locked="0"/>
    </xf>
    <xf numFmtId="186" fontId="21" fillId="5" borderId="11" xfId="113" applyNumberFormat="1" applyFont="1" applyFill="1" applyBorder="1" applyAlignment="1" applyProtection="1">
      <alignment horizontal="center" vertical="center" wrapText="1"/>
      <protection locked="0"/>
    </xf>
    <xf numFmtId="186" fontId="21" fillId="5" borderId="12" xfId="113" applyNumberFormat="1" applyFont="1" applyFill="1" applyBorder="1" applyAlignment="1" applyProtection="1">
      <alignment horizontal="center" vertical="center" wrapText="1"/>
      <protection locked="0"/>
    </xf>
    <xf numFmtId="181" fontId="20" fillId="6" borderId="3" xfId="142" applyNumberFormat="1" applyFont="1" applyFill="1" applyBorder="1" applyAlignment="1" applyProtection="1">
      <alignment horizontal="right" vertical="center"/>
      <protection locked="0"/>
    </xf>
    <xf numFmtId="41" fontId="20" fillId="6" borderId="3" xfId="142" applyFont="1" applyFill="1" applyBorder="1" applyAlignment="1" applyProtection="1">
      <alignment horizontal="right" vertical="center"/>
      <protection locked="0"/>
    </xf>
    <xf numFmtId="41" fontId="20" fillId="6" borderId="3" xfId="142" applyFont="1" applyFill="1" applyBorder="1" applyAlignment="1">
      <alignment horizontal="right" vertical="center"/>
    </xf>
    <xf numFmtId="41" fontId="20" fillId="6" borderId="3" xfId="142" applyFont="1" applyFill="1" applyBorder="1" applyAlignment="1" applyProtection="1">
      <alignment vertical="center"/>
      <protection locked="0"/>
    </xf>
    <xf numFmtId="41" fontId="20" fillId="6" borderId="3" xfId="142" applyFont="1" applyFill="1" applyBorder="1" applyAlignment="1" applyProtection="1">
      <alignment horizontal="right" vertical="center" wrapText="1"/>
      <protection locked="0"/>
    </xf>
    <xf numFmtId="181" fontId="20" fillId="6" borderId="3" xfId="142" applyNumberFormat="1" applyFont="1" applyFill="1" applyBorder="1" applyAlignment="1" applyProtection="1">
      <alignment vertical="center"/>
      <protection locked="0"/>
    </xf>
    <xf numFmtId="0" fontId="20" fillId="6" borderId="3" xfId="0" applyFont="1" applyFill="1" applyBorder="1" applyAlignment="1" applyProtection="1">
      <alignment horizontal="center" vertical="center" wrapText="1"/>
    </xf>
    <xf numFmtId="185" fontId="20" fillId="0" borderId="0" xfId="0" applyNumberFormat="1" applyFont="1" applyBorder="1" applyAlignment="1">
      <alignment vertical="center" wrapText="1"/>
    </xf>
    <xf numFmtId="185" fontId="21" fillId="5" borderId="3" xfId="112" applyNumberFormat="1" applyFont="1" applyFill="1" applyBorder="1" applyAlignment="1" applyProtection="1">
      <alignment vertical="center" wrapText="1"/>
      <protection locked="0"/>
    </xf>
    <xf numFmtId="185" fontId="20" fillId="6" borderId="3" xfId="112" applyNumberFormat="1" applyFont="1" applyFill="1" applyBorder="1" applyAlignment="1" applyProtection="1">
      <alignment vertical="center" wrapText="1"/>
      <protection locked="0"/>
    </xf>
    <xf numFmtId="185" fontId="20" fillId="6" borderId="0" xfId="0" applyNumberFormat="1" applyFont="1" applyFill="1" applyBorder="1" applyAlignment="1">
      <alignment vertical="center" wrapText="1"/>
    </xf>
    <xf numFmtId="185" fontId="20" fillId="0" borderId="0" xfId="112" applyNumberFormat="1" applyFont="1" applyBorder="1" applyAlignment="1">
      <alignment vertical="center" wrapText="1"/>
    </xf>
    <xf numFmtId="0" fontId="24" fillId="6" borderId="3" xfId="0" applyFont="1" applyFill="1" applyBorder="1" applyAlignment="1">
      <alignment horizontal="justify" vertical="center" wrapText="1"/>
    </xf>
    <xf numFmtId="185" fontId="20" fillId="6" borderId="3" xfId="112" applyNumberFormat="1" applyFont="1" applyFill="1" applyBorder="1" applyAlignment="1" applyProtection="1">
      <alignment vertical="center" wrapText="1"/>
      <protection locked="0"/>
    </xf>
    <xf numFmtId="185" fontId="20" fillId="6" borderId="3" xfId="112" applyNumberFormat="1" applyFont="1" applyFill="1" applyBorder="1" applyAlignment="1" applyProtection="1">
      <alignment horizontal="right" vertical="center" wrapText="1"/>
      <protection locked="0"/>
    </xf>
    <xf numFmtId="0" fontId="23" fillId="6" borderId="3" xfId="0" applyFont="1" applyFill="1" applyBorder="1" applyAlignment="1">
      <alignment horizontal="justify" vertical="center" wrapText="1"/>
    </xf>
    <xf numFmtId="0" fontId="23" fillId="6" borderId="3" xfId="0" applyFont="1" applyFill="1" applyBorder="1" applyAlignment="1">
      <alignment horizontal="justify" vertical="center" wrapText="1"/>
    </xf>
    <xf numFmtId="0" fontId="24" fillId="6" borderId="3" xfId="0" applyFont="1" applyFill="1" applyBorder="1" applyAlignment="1">
      <alignment horizontal="justify" vertical="center" wrapText="1"/>
    </xf>
    <xf numFmtId="185" fontId="0" fillId="0" borderId="0" xfId="0" applyNumberFormat="1"/>
  </cellXfs>
  <cellStyles count="145">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xfId="144" builtinId="3"/>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colors>
    <mruColors>
      <color rgb="FFA4C539"/>
      <color rgb="FF86A2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725258</xdr:colOff>
      <xdr:row>1</xdr:row>
      <xdr:rowOff>19439</xdr:rowOff>
    </xdr:from>
    <xdr:to>
      <xdr:col>3</xdr:col>
      <xdr:colOff>477949</xdr:colOff>
      <xdr:row>4</xdr:row>
      <xdr:rowOff>145791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442" y="184669"/>
          <a:ext cx="899578" cy="62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97"/>
  <sheetViews>
    <sheetView showGridLines="0" tabSelected="1" zoomScale="98" zoomScaleNormal="98" zoomScaleSheetLayoutView="70" zoomScalePageLayoutView="25" workbookViewId="0">
      <pane ySplit="11" topLeftCell="A12" activePane="bottomLeft" state="frozen"/>
      <selection pane="bottomLeft" activeCell="J22" sqref="J22"/>
    </sheetView>
  </sheetViews>
  <sheetFormatPr baseColWidth="10" defaultColWidth="9.85546875" defaultRowHeight="12.75" customHeight="1" x14ac:dyDescent="0.2"/>
  <cols>
    <col min="1" max="1" width="2" style="12" customWidth="1"/>
    <col min="2" max="2" width="11.42578125" style="12" customWidth="1"/>
    <col min="3" max="3" width="17.140625" style="12" customWidth="1"/>
    <col min="4" max="4" width="23" style="12" customWidth="1"/>
    <col min="5" max="5" width="18.42578125" style="12" customWidth="1"/>
    <col min="6" max="6" width="12" style="12" customWidth="1"/>
    <col min="7" max="7" width="23.28515625" style="12" customWidth="1"/>
    <col min="8" max="8" width="11.7109375" style="12" customWidth="1"/>
    <col min="9" max="9" width="10" style="12" customWidth="1"/>
    <col min="10" max="10" width="8.85546875" style="12" customWidth="1"/>
    <col min="11" max="11" width="12.5703125" style="78" customWidth="1"/>
    <col min="12" max="17" width="9.42578125" style="65" customWidth="1"/>
    <col min="18" max="18" width="10.28515625" style="65" customWidth="1"/>
    <col min="19" max="19" width="9.42578125" style="65" customWidth="1"/>
    <col min="20" max="20" width="11" style="65" customWidth="1"/>
    <col min="21" max="21" width="9.42578125" style="65" customWidth="1"/>
    <col min="22" max="22" width="9.42578125" style="12" customWidth="1"/>
    <col min="23" max="23" width="9.42578125" style="66" customWidth="1"/>
    <col min="24" max="35" width="4" style="65" customWidth="1"/>
    <col min="36" max="36" width="11.7109375" style="67" customWidth="1"/>
    <col min="37" max="37" width="11.7109375" style="65" customWidth="1"/>
    <col min="38" max="38" width="41.140625" style="12" customWidth="1"/>
    <col min="39" max="39" width="25" style="12" customWidth="1"/>
    <col min="40" max="40" width="32" style="12" customWidth="1"/>
    <col min="41" max="42" width="14.28515625" style="68" customWidth="1"/>
    <col min="43" max="44" width="14.28515625" style="69" customWidth="1"/>
    <col min="45" max="46" width="14.28515625" style="176" customWidth="1"/>
    <col min="47" max="47" width="15.140625" style="5" customWidth="1"/>
    <col min="48" max="48" width="14" style="5" customWidth="1"/>
    <col min="49" max="16384" width="9.85546875" style="5"/>
  </cols>
  <sheetData>
    <row r="1" spans="1:48" ht="12.75" customHeight="1" x14ac:dyDescent="0.2">
      <c r="A1" s="5"/>
      <c r="B1" s="5"/>
      <c r="C1" s="5"/>
      <c r="D1" s="5"/>
      <c r="E1" s="5"/>
      <c r="F1" s="5"/>
      <c r="G1" s="5"/>
      <c r="H1" s="5"/>
      <c r="I1" s="5"/>
      <c r="J1" s="5"/>
      <c r="K1" s="72"/>
      <c r="L1" s="7"/>
      <c r="M1" s="7"/>
      <c r="N1" s="7"/>
      <c r="O1" s="7"/>
      <c r="P1" s="7"/>
      <c r="Q1" s="7"/>
      <c r="R1" s="7"/>
      <c r="S1" s="7"/>
      <c r="T1" s="7"/>
      <c r="U1" s="7"/>
      <c r="V1" s="5"/>
      <c r="W1" s="8"/>
      <c r="X1" s="7"/>
      <c r="Y1" s="7"/>
      <c r="Z1" s="7"/>
      <c r="AA1" s="7"/>
      <c r="AB1" s="7"/>
      <c r="AC1" s="7"/>
      <c r="AD1" s="7"/>
      <c r="AE1" s="7"/>
      <c r="AF1" s="7"/>
      <c r="AG1" s="7"/>
      <c r="AH1" s="7"/>
      <c r="AI1" s="7"/>
      <c r="AJ1" s="9"/>
      <c r="AK1" s="7"/>
      <c r="AL1" s="5"/>
      <c r="AM1" s="5"/>
      <c r="AN1" s="5"/>
      <c r="AO1" s="10"/>
      <c r="AP1" s="10"/>
      <c r="AQ1" s="11"/>
      <c r="AR1" s="11"/>
      <c r="AS1" s="172"/>
      <c r="AT1" s="172"/>
    </row>
    <row r="2" spans="1:48" ht="12.75" customHeight="1" x14ac:dyDescent="0.2">
      <c r="B2" s="148"/>
      <c r="C2" s="148"/>
      <c r="D2" s="148"/>
      <c r="E2" s="148"/>
      <c r="F2" s="148"/>
      <c r="G2" s="150" t="s">
        <v>2311</v>
      </c>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72"/>
      <c r="AT2" s="172"/>
      <c r="AV2" s="13" t="s">
        <v>2258</v>
      </c>
    </row>
    <row r="3" spans="1:48" ht="12.75" customHeight="1" x14ac:dyDescent="0.2">
      <c r="B3" s="148"/>
      <c r="C3" s="148"/>
      <c r="D3" s="148"/>
      <c r="E3" s="148"/>
      <c r="F3" s="148"/>
      <c r="G3" s="150" t="s">
        <v>2309</v>
      </c>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72"/>
      <c r="AT3" s="172"/>
      <c r="AV3" s="13" t="s">
        <v>2259</v>
      </c>
    </row>
    <row r="4" spans="1:48" ht="12.75" customHeight="1" x14ac:dyDescent="0.2">
      <c r="B4" s="148"/>
      <c r="C4" s="148"/>
      <c r="D4" s="148"/>
      <c r="E4" s="148"/>
      <c r="F4" s="148"/>
      <c r="G4" s="150" t="s">
        <v>2254</v>
      </c>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72"/>
      <c r="AT4" s="172"/>
      <c r="AV4" s="13" t="s">
        <v>2260</v>
      </c>
    </row>
    <row r="5" spans="1:48" ht="12.75" customHeight="1" x14ac:dyDescent="0.2">
      <c r="B5" s="148"/>
      <c r="C5" s="148"/>
      <c r="D5" s="148"/>
      <c r="E5" s="148"/>
      <c r="F5" s="148"/>
      <c r="G5" s="150" t="s">
        <v>2310</v>
      </c>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72"/>
      <c r="AT5" s="172"/>
      <c r="AV5" s="13" t="s">
        <v>2261</v>
      </c>
    </row>
    <row r="6" spans="1:48" ht="12.75" customHeight="1" x14ac:dyDescent="0.2">
      <c r="B6" s="149" t="s">
        <v>2425</v>
      </c>
      <c r="C6" s="149"/>
      <c r="D6" s="149"/>
      <c r="E6" s="149"/>
      <c r="F6" s="149"/>
      <c r="G6" s="152" t="s">
        <v>2426</v>
      </c>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4"/>
      <c r="AS6" s="172"/>
      <c r="AT6" s="172"/>
    </row>
    <row r="7" spans="1:48" ht="12.75" customHeight="1" x14ac:dyDescent="0.2">
      <c r="B7" s="149" t="s">
        <v>2424</v>
      </c>
      <c r="C7" s="149"/>
      <c r="D7" s="149"/>
      <c r="E7" s="149"/>
      <c r="F7" s="149"/>
      <c r="G7" s="152" t="s">
        <v>2436</v>
      </c>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4"/>
      <c r="AS7" s="172"/>
      <c r="AT7" s="172"/>
    </row>
    <row r="8" spans="1:48" ht="12.75" customHeight="1" x14ac:dyDescent="0.2">
      <c r="B8" s="149" t="s">
        <v>2268</v>
      </c>
      <c r="C8" s="149"/>
      <c r="D8" s="149"/>
      <c r="E8" s="149"/>
      <c r="F8" s="149"/>
      <c r="G8" s="151" t="s">
        <v>2515</v>
      </c>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72"/>
      <c r="AT8" s="172"/>
    </row>
    <row r="9" spans="1:48" ht="21.75" customHeight="1" x14ac:dyDescent="0.2">
      <c r="B9" s="142" t="s">
        <v>2503</v>
      </c>
      <c r="C9" s="142"/>
      <c r="D9" s="142"/>
      <c r="E9" s="142"/>
      <c r="F9" s="147" t="s">
        <v>2502</v>
      </c>
      <c r="G9" s="147"/>
      <c r="H9" s="147"/>
      <c r="I9" s="147"/>
      <c r="J9" s="112" t="s">
        <v>685</v>
      </c>
      <c r="K9" s="113"/>
      <c r="L9" s="112" t="s">
        <v>685</v>
      </c>
      <c r="M9" s="113"/>
      <c r="N9" s="112" t="s">
        <v>685</v>
      </c>
      <c r="O9" s="113"/>
      <c r="P9" s="112" t="s">
        <v>685</v>
      </c>
      <c r="Q9" s="113"/>
      <c r="R9" s="112" t="s">
        <v>685</v>
      </c>
      <c r="S9" s="113"/>
      <c r="T9" s="112" t="s">
        <v>685</v>
      </c>
      <c r="U9" s="113"/>
      <c r="V9" s="114" t="s">
        <v>2240</v>
      </c>
      <c r="W9" s="117" t="s">
        <v>2255</v>
      </c>
      <c r="X9" s="106" t="s">
        <v>2507</v>
      </c>
      <c r="Y9" s="107"/>
      <c r="Z9" s="107"/>
      <c r="AA9" s="107"/>
      <c r="AB9" s="107"/>
      <c r="AC9" s="107"/>
      <c r="AD9" s="107"/>
      <c r="AE9" s="107"/>
      <c r="AF9" s="107"/>
      <c r="AG9" s="107"/>
      <c r="AH9" s="107"/>
      <c r="AI9" s="107"/>
      <c r="AJ9" s="108"/>
      <c r="AK9" s="106" t="s">
        <v>2504</v>
      </c>
      <c r="AL9" s="107"/>
      <c r="AM9" s="107"/>
      <c r="AN9" s="107"/>
      <c r="AO9" s="161" t="s">
        <v>2505</v>
      </c>
      <c r="AP9" s="162"/>
      <c r="AQ9" s="162"/>
      <c r="AR9" s="162"/>
      <c r="AS9" s="162"/>
      <c r="AT9" s="162"/>
    </row>
    <row r="10" spans="1:48" ht="20.25" customHeight="1" x14ac:dyDescent="0.2">
      <c r="B10" s="142"/>
      <c r="C10" s="142"/>
      <c r="D10" s="142"/>
      <c r="E10" s="142"/>
      <c r="F10" s="147"/>
      <c r="G10" s="147"/>
      <c r="H10" s="147"/>
      <c r="I10" s="147"/>
      <c r="J10" s="112" t="s">
        <v>2316</v>
      </c>
      <c r="K10" s="113"/>
      <c r="L10" s="120">
        <v>2020</v>
      </c>
      <c r="M10" s="120"/>
      <c r="N10" s="120">
        <v>2021</v>
      </c>
      <c r="O10" s="120"/>
      <c r="P10" s="120">
        <v>2022</v>
      </c>
      <c r="Q10" s="120"/>
      <c r="R10" s="120">
        <v>2023</v>
      </c>
      <c r="S10" s="120"/>
      <c r="T10" s="120">
        <v>2024</v>
      </c>
      <c r="U10" s="120"/>
      <c r="V10" s="115"/>
      <c r="W10" s="118"/>
      <c r="X10" s="109"/>
      <c r="Y10" s="110"/>
      <c r="Z10" s="110"/>
      <c r="AA10" s="110"/>
      <c r="AB10" s="110"/>
      <c r="AC10" s="110"/>
      <c r="AD10" s="110"/>
      <c r="AE10" s="110"/>
      <c r="AF10" s="110"/>
      <c r="AG10" s="110"/>
      <c r="AH10" s="110"/>
      <c r="AI10" s="110"/>
      <c r="AJ10" s="111"/>
      <c r="AK10" s="109"/>
      <c r="AL10" s="110"/>
      <c r="AM10" s="110"/>
      <c r="AN10" s="110"/>
      <c r="AO10" s="163"/>
      <c r="AP10" s="164"/>
      <c r="AQ10" s="164"/>
      <c r="AR10" s="164"/>
      <c r="AS10" s="164"/>
      <c r="AT10" s="164"/>
    </row>
    <row r="11" spans="1:48" s="6" customFormat="1" ht="38.25" customHeight="1" x14ac:dyDescent="0.2">
      <c r="A11" s="14"/>
      <c r="B11" s="125" t="s">
        <v>2262</v>
      </c>
      <c r="C11" s="80" t="s">
        <v>2274</v>
      </c>
      <c r="D11" s="80" t="s">
        <v>2392</v>
      </c>
      <c r="E11" s="80" t="s">
        <v>2263</v>
      </c>
      <c r="F11" s="80" t="s">
        <v>2315</v>
      </c>
      <c r="G11" s="80" t="s">
        <v>2314</v>
      </c>
      <c r="H11" s="80" t="s">
        <v>2238</v>
      </c>
      <c r="I11" s="80" t="s">
        <v>2239</v>
      </c>
      <c r="J11" s="81" t="s">
        <v>2257</v>
      </c>
      <c r="K11" s="82" t="s">
        <v>2256</v>
      </c>
      <c r="L11" s="82" t="s">
        <v>692</v>
      </c>
      <c r="M11" s="82" t="s">
        <v>2234</v>
      </c>
      <c r="N11" s="82" t="s">
        <v>692</v>
      </c>
      <c r="O11" s="82" t="s">
        <v>2234</v>
      </c>
      <c r="P11" s="82" t="s">
        <v>692</v>
      </c>
      <c r="Q11" s="82"/>
      <c r="R11" s="82" t="s">
        <v>692</v>
      </c>
      <c r="S11" s="82" t="s">
        <v>2234</v>
      </c>
      <c r="T11" s="82" t="s">
        <v>692</v>
      </c>
      <c r="U11" s="82" t="s">
        <v>2234</v>
      </c>
      <c r="V11" s="116"/>
      <c r="W11" s="119"/>
      <c r="X11" s="83" t="s">
        <v>2241</v>
      </c>
      <c r="Y11" s="83" t="s">
        <v>2242</v>
      </c>
      <c r="Z11" s="83" t="s">
        <v>2243</v>
      </c>
      <c r="AA11" s="83" t="s">
        <v>2244</v>
      </c>
      <c r="AB11" s="83" t="s">
        <v>2245</v>
      </c>
      <c r="AC11" s="83" t="s">
        <v>2246</v>
      </c>
      <c r="AD11" s="83" t="s">
        <v>2247</v>
      </c>
      <c r="AE11" s="83" t="s">
        <v>2248</v>
      </c>
      <c r="AF11" s="83" t="s">
        <v>2249</v>
      </c>
      <c r="AG11" s="83" t="s">
        <v>2250</v>
      </c>
      <c r="AH11" s="83" t="s">
        <v>2251</v>
      </c>
      <c r="AI11" s="83" t="s">
        <v>2252</v>
      </c>
      <c r="AJ11" s="82" t="s">
        <v>2266</v>
      </c>
      <c r="AK11" s="82" t="s">
        <v>2253</v>
      </c>
      <c r="AL11" s="81" t="s">
        <v>2264</v>
      </c>
      <c r="AM11" s="81" t="s">
        <v>2267</v>
      </c>
      <c r="AN11" s="81" t="s">
        <v>2265</v>
      </c>
      <c r="AO11" s="84" t="s">
        <v>2506</v>
      </c>
      <c r="AP11" s="84" t="s">
        <v>2313</v>
      </c>
      <c r="AQ11" s="85" t="s">
        <v>2488</v>
      </c>
      <c r="AR11" s="85" t="s">
        <v>2462</v>
      </c>
      <c r="AS11" s="173" t="s">
        <v>2490</v>
      </c>
      <c r="AT11" s="173" t="s">
        <v>2489</v>
      </c>
    </row>
    <row r="12" spans="1:48" s="23" customFormat="1" ht="12.75" customHeight="1" x14ac:dyDescent="0.2">
      <c r="A12" s="15"/>
      <c r="B12" s="126"/>
      <c r="C12" s="98" t="s">
        <v>2272</v>
      </c>
      <c r="D12" s="98" t="s">
        <v>2427</v>
      </c>
      <c r="E12" s="98" t="s">
        <v>2393</v>
      </c>
      <c r="F12" s="98" t="s">
        <v>2357</v>
      </c>
      <c r="G12" s="98" t="s">
        <v>2356</v>
      </c>
      <c r="H12" s="98" t="s">
        <v>2358</v>
      </c>
      <c r="I12" s="98" t="s">
        <v>2269</v>
      </c>
      <c r="J12" s="93" t="s">
        <v>2261</v>
      </c>
      <c r="K12" s="73">
        <f>+L12+N12+P12+R12+T12</f>
        <v>146</v>
      </c>
      <c r="L12" s="16">
        <v>0</v>
      </c>
      <c r="M12" s="16">
        <v>0</v>
      </c>
      <c r="N12" s="17">
        <v>14.93</v>
      </c>
      <c r="O12" s="17">
        <v>14.93</v>
      </c>
      <c r="P12" s="17">
        <v>46</v>
      </c>
      <c r="Q12" s="17">
        <v>22.46</v>
      </c>
      <c r="R12" s="17">
        <v>57.07</v>
      </c>
      <c r="S12" s="18">
        <v>0</v>
      </c>
      <c r="T12" s="17">
        <v>28</v>
      </c>
      <c r="U12" s="18">
        <v>0</v>
      </c>
      <c r="V12" s="19">
        <f>+M12+O12+Q12</f>
        <v>37.39</v>
      </c>
      <c r="W12" s="20">
        <f>V12/146</f>
        <v>0.25609589041095893</v>
      </c>
      <c r="X12" s="130">
        <v>3.93</v>
      </c>
      <c r="Y12" s="130"/>
      <c r="Z12" s="130"/>
      <c r="AA12" s="122">
        <f>17.39-X12</f>
        <v>13.46</v>
      </c>
      <c r="AB12" s="122"/>
      <c r="AC12" s="122"/>
      <c r="AD12" s="122">
        <v>22.46</v>
      </c>
      <c r="AE12" s="122"/>
      <c r="AF12" s="122"/>
      <c r="AG12" s="123">
        <v>0</v>
      </c>
      <c r="AH12" s="123"/>
      <c r="AI12" s="123"/>
      <c r="AJ12" s="21">
        <f>+MAX(X12,AA12,AD12)</f>
        <v>22.46</v>
      </c>
      <c r="AK12" s="22">
        <f>+AJ12/P12</f>
        <v>0.48826086956521741</v>
      </c>
      <c r="AL12" s="128" t="s">
        <v>2544</v>
      </c>
      <c r="AM12" s="128" t="s">
        <v>2500</v>
      </c>
      <c r="AN12" s="128" t="s">
        <v>2545</v>
      </c>
      <c r="AO12" s="124">
        <v>576083</v>
      </c>
      <c r="AP12" s="124">
        <v>175640</v>
      </c>
      <c r="AQ12" s="155">
        <v>1003531224934</v>
      </c>
      <c r="AR12" s="155">
        <v>733856678773</v>
      </c>
      <c r="AS12" s="178">
        <v>999540282664</v>
      </c>
      <c r="AT12" s="178">
        <v>437455230355</v>
      </c>
    </row>
    <row r="13" spans="1:48" s="23" customFormat="1" ht="12.75" customHeight="1" x14ac:dyDescent="0.2">
      <c r="A13" s="15"/>
      <c r="B13" s="126"/>
      <c r="C13" s="98" t="s">
        <v>2272</v>
      </c>
      <c r="D13" s="98" t="s">
        <v>2427</v>
      </c>
      <c r="E13" s="98" t="s">
        <v>2393</v>
      </c>
      <c r="F13" s="98" t="s">
        <v>2479</v>
      </c>
      <c r="G13" s="98" t="s">
        <v>2356</v>
      </c>
      <c r="H13" s="98" t="s">
        <v>2478</v>
      </c>
      <c r="I13" s="98" t="s">
        <v>2269</v>
      </c>
      <c r="J13" s="93" t="s">
        <v>2261</v>
      </c>
      <c r="K13" s="73">
        <f>+L13+N13+P13+R13+T13</f>
        <v>100</v>
      </c>
      <c r="L13" s="16">
        <v>0</v>
      </c>
      <c r="M13" s="16">
        <v>0</v>
      </c>
      <c r="N13" s="17">
        <v>0</v>
      </c>
      <c r="O13" s="17">
        <v>0</v>
      </c>
      <c r="P13" s="17">
        <v>85</v>
      </c>
      <c r="Q13" s="17">
        <v>50</v>
      </c>
      <c r="R13" s="17">
        <v>15</v>
      </c>
      <c r="S13" s="18">
        <v>0</v>
      </c>
      <c r="T13" s="17">
        <v>0</v>
      </c>
      <c r="U13" s="18">
        <v>0</v>
      </c>
      <c r="V13" s="19">
        <f>+M13+O13+Q13</f>
        <v>50</v>
      </c>
      <c r="W13" s="20">
        <f>+V13/K13</f>
        <v>0.5</v>
      </c>
      <c r="X13" s="123">
        <v>0</v>
      </c>
      <c r="Y13" s="123"/>
      <c r="Z13" s="123"/>
      <c r="AA13" s="123">
        <v>50</v>
      </c>
      <c r="AB13" s="123"/>
      <c r="AC13" s="123"/>
      <c r="AD13" s="123">
        <v>50</v>
      </c>
      <c r="AE13" s="123"/>
      <c r="AF13" s="123"/>
      <c r="AG13" s="123">
        <v>0</v>
      </c>
      <c r="AH13" s="123"/>
      <c r="AI13" s="123"/>
      <c r="AJ13" s="21">
        <f>+MAX(X13,AA13,AD13)</f>
        <v>50</v>
      </c>
      <c r="AK13" s="22">
        <f>+AJ13/P13</f>
        <v>0.58823529411764708</v>
      </c>
      <c r="AL13" s="128"/>
      <c r="AM13" s="128"/>
      <c r="AN13" s="128"/>
      <c r="AO13" s="124"/>
      <c r="AP13" s="124"/>
      <c r="AQ13" s="155"/>
      <c r="AR13" s="155"/>
      <c r="AS13" s="178"/>
      <c r="AT13" s="178"/>
    </row>
    <row r="14" spans="1:48" s="23" customFormat="1" ht="12.75" customHeight="1" x14ac:dyDescent="0.2">
      <c r="A14" s="15"/>
      <c r="B14" s="126"/>
      <c r="C14" s="134" t="s">
        <v>2272</v>
      </c>
      <c r="D14" s="134" t="s">
        <v>2427</v>
      </c>
      <c r="E14" s="134" t="s">
        <v>2393</v>
      </c>
      <c r="F14" s="134" t="s">
        <v>2341</v>
      </c>
      <c r="G14" s="98" t="s">
        <v>2342</v>
      </c>
      <c r="H14" s="134" t="s">
        <v>2344</v>
      </c>
      <c r="I14" s="98" t="s">
        <v>2235</v>
      </c>
      <c r="J14" s="93" t="s">
        <v>2261</v>
      </c>
      <c r="K14" s="74">
        <f>L14+N14+P14+R14+T14</f>
        <v>56</v>
      </c>
      <c r="L14" s="25">
        <v>25.16</v>
      </c>
      <c r="M14" s="16">
        <v>25.16</v>
      </c>
      <c r="N14" s="25">
        <v>16.420000000000002</v>
      </c>
      <c r="O14" s="25">
        <v>16.420000000000002</v>
      </c>
      <c r="P14" s="25">
        <v>7</v>
      </c>
      <c r="Q14" s="25">
        <v>2.19</v>
      </c>
      <c r="R14" s="25">
        <v>5.42</v>
      </c>
      <c r="S14" s="18">
        <v>0</v>
      </c>
      <c r="T14" s="25">
        <v>2</v>
      </c>
      <c r="U14" s="18">
        <v>0</v>
      </c>
      <c r="V14" s="19">
        <f>M14+O14+S14+Q14+U14</f>
        <v>43.769999999999996</v>
      </c>
      <c r="W14" s="20">
        <f>(V14/K14)</f>
        <v>0.78160714285714283</v>
      </c>
      <c r="X14" s="130">
        <v>2.1</v>
      </c>
      <c r="Y14" s="130"/>
      <c r="Z14" s="130"/>
      <c r="AA14" s="122">
        <v>0.09</v>
      </c>
      <c r="AB14" s="122"/>
      <c r="AC14" s="122"/>
      <c r="AD14" s="123">
        <v>0</v>
      </c>
      <c r="AE14" s="123"/>
      <c r="AF14" s="123"/>
      <c r="AG14" s="123">
        <v>0</v>
      </c>
      <c r="AH14" s="123"/>
      <c r="AI14" s="123"/>
      <c r="AJ14" s="21">
        <f>+X14+AA14+AD14+AG14</f>
        <v>2.19</v>
      </c>
      <c r="AK14" s="22">
        <f>AJ14/P14</f>
        <v>0.31285714285714283</v>
      </c>
      <c r="AL14" s="133" t="s">
        <v>2546</v>
      </c>
      <c r="AM14" s="128" t="s">
        <v>2495</v>
      </c>
      <c r="AN14" s="128" t="s">
        <v>2512</v>
      </c>
      <c r="AO14" s="95">
        <v>364</v>
      </c>
      <c r="AP14" s="95">
        <v>118</v>
      </c>
      <c r="AQ14" s="97">
        <v>207411000</v>
      </c>
      <c r="AR14" s="97">
        <v>207411000</v>
      </c>
      <c r="AS14" s="174">
        <v>713680570</v>
      </c>
      <c r="AT14" s="174">
        <v>642705050</v>
      </c>
    </row>
    <row r="15" spans="1:48" s="23" customFormat="1" ht="12.75" customHeight="1" x14ac:dyDescent="0.2">
      <c r="A15" s="15"/>
      <c r="B15" s="126"/>
      <c r="C15" s="134"/>
      <c r="D15" s="134"/>
      <c r="E15" s="134"/>
      <c r="F15" s="134"/>
      <c r="G15" s="98" t="s">
        <v>2342</v>
      </c>
      <c r="H15" s="134"/>
      <c r="I15" s="98" t="s">
        <v>2269</v>
      </c>
      <c r="J15" s="93" t="s">
        <v>2261</v>
      </c>
      <c r="K15" s="74">
        <f>L15+N15+P15+R15+T15</f>
        <v>234.16000000000003</v>
      </c>
      <c r="L15" s="25">
        <v>0</v>
      </c>
      <c r="M15" s="16">
        <v>0</v>
      </c>
      <c r="N15" s="25">
        <v>4.97</v>
      </c>
      <c r="O15" s="25">
        <v>4.97</v>
      </c>
      <c r="P15" s="25">
        <v>54.61</v>
      </c>
      <c r="Q15" s="25">
        <v>10.68</v>
      </c>
      <c r="R15" s="25">
        <v>82.28</v>
      </c>
      <c r="S15" s="18">
        <v>0</v>
      </c>
      <c r="T15" s="25">
        <v>92.3</v>
      </c>
      <c r="U15" s="18">
        <v>0</v>
      </c>
      <c r="V15" s="19">
        <f>M15+O15+S15+Q15+U15</f>
        <v>15.649999999999999</v>
      </c>
      <c r="W15" s="20">
        <f>+V15/K15</f>
        <v>6.6834642979159531E-2</v>
      </c>
      <c r="X15" s="130">
        <v>1.06</v>
      </c>
      <c r="Y15" s="130"/>
      <c r="Z15" s="130"/>
      <c r="AA15" s="122">
        <f>7.97-X15</f>
        <v>6.91</v>
      </c>
      <c r="AB15" s="122"/>
      <c r="AC15" s="122"/>
      <c r="AD15" s="123">
        <v>2.71</v>
      </c>
      <c r="AE15" s="123"/>
      <c r="AF15" s="123"/>
      <c r="AG15" s="123">
        <v>0</v>
      </c>
      <c r="AH15" s="123"/>
      <c r="AI15" s="123"/>
      <c r="AJ15" s="21">
        <f>+X15+AA15+AD15+AG15</f>
        <v>10.68</v>
      </c>
      <c r="AK15" s="22">
        <f>AJ15/P15</f>
        <v>0.19556857718366599</v>
      </c>
      <c r="AL15" s="133"/>
      <c r="AM15" s="128"/>
      <c r="AN15" s="128"/>
      <c r="AO15" s="95">
        <v>25610</v>
      </c>
      <c r="AP15" s="95">
        <v>25501</v>
      </c>
      <c r="AQ15" s="96">
        <v>6999605616</v>
      </c>
      <c r="AR15" s="96">
        <v>5111893906</v>
      </c>
      <c r="AS15" s="174">
        <v>65930161216</v>
      </c>
      <c r="AT15" s="174">
        <v>1049810105</v>
      </c>
    </row>
    <row r="16" spans="1:48" s="23" customFormat="1" ht="12.75" customHeight="1" x14ac:dyDescent="0.2">
      <c r="A16" s="15"/>
      <c r="B16" s="127"/>
      <c r="C16" s="134" t="s">
        <v>2272</v>
      </c>
      <c r="D16" s="134" t="s">
        <v>2427</v>
      </c>
      <c r="E16" s="134" t="s">
        <v>2393</v>
      </c>
      <c r="F16" s="98" t="s">
        <v>2448</v>
      </c>
      <c r="G16" s="98" t="s">
        <v>2360</v>
      </c>
      <c r="H16" s="98" t="s">
        <v>2447</v>
      </c>
      <c r="I16" s="98" t="s">
        <v>2269</v>
      </c>
      <c r="J16" s="93" t="s">
        <v>2261</v>
      </c>
      <c r="K16" s="75">
        <f t="shared" ref="K16:K17" si="0">+L16+N16+P16+R16+T16</f>
        <v>12</v>
      </c>
      <c r="L16" s="18">
        <v>0</v>
      </c>
      <c r="M16" s="16">
        <v>0</v>
      </c>
      <c r="N16" s="18">
        <v>0</v>
      </c>
      <c r="O16" s="18">
        <v>0</v>
      </c>
      <c r="P16" s="18">
        <v>5</v>
      </c>
      <c r="Q16" s="25">
        <v>0</v>
      </c>
      <c r="R16" s="25">
        <v>4</v>
      </c>
      <c r="S16" s="18">
        <v>0</v>
      </c>
      <c r="T16" s="25">
        <v>3</v>
      </c>
      <c r="U16" s="18">
        <v>0</v>
      </c>
      <c r="V16" s="26">
        <v>0</v>
      </c>
      <c r="W16" s="20">
        <f>IFERROR(O16/V16,0)</f>
        <v>0</v>
      </c>
      <c r="X16" s="123">
        <v>0</v>
      </c>
      <c r="Y16" s="123"/>
      <c r="Z16" s="123"/>
      <c r="AA16" s="123">
        <v>0</v>
      </c>
      <c r="AB16" s="123"/>
      <c r="AC16" s="123"/>
      <c r="AD16" s="123">
        <v>0</v>
      </c>
      <c r="AE16" s="123"/>
      <c r="AF16" s="123"/>
      <c r="AG16" s="123">
        <v>0</v>
      </c>
      <c r="AH16" s="123"/>
      <c r="AI16" s="123"/>
      <c r="AJ16" s="27">
        <f>AD16+AG16+AA16+X16</f>
        <v>0</v>
      </c>
      <c r="AK16" s="28">
        <f>IFERROR(X16/N16,0)</f>
        <v>0</v>
      </c>
      <c r="AL16" s="133" t="s">
        <v>2547</v>
      </c>
      <c r="AM16" s="128" t="s">
        <v>2463</v>
      </c>
      <c r="AN16" s="128" t="s">
        <v>2548</v>
      </c>
      <c r="AO16" s="158">
        <v>45588</v>
      </c>
      <c r="AP16" s="158">
        <v>35885</v>
      </c>
      <c r="AQ16" s="157">
        <v>132041888832</v>
      </c>
      <c r="AR16" s="157">
        <v>68914884732</v>
      </c>
      <c r="AS16" s="178">
        <v>279502257568</v>
      </c>
      <c r="AT16" s="178">
        <v>111991990001</v>
      </c>
    </row>
    <row r="17" spans="1:46" s="23" customFormat="1" ht="12.75" customHeight="1" x14ac:dyDescent="0.2">
      <c r="A17" s="15"/>
      <c r="B17" s="127"/>
      <c r="C17" s="134"/>
      <c r="D17" s="134"/>
      <c r="E17" s="134"/>
      <c r="F17" s="98" t="s">
        <v>2359</v>
      </c>
      <c r="G17" s="98" t="s">
        <v>2360</v>
      </c>
      <c r="H17" s="98" t="s">
        <v>2349</v>
      </c>
      <c r="I17" s="98" t="s">
        <v>2269</v>
      </c>
      <c r="J17" s="93" t="s">
        <v>2261</v>
      </c>
      <c r="K17" s="75">
        <f t="shared" si="0"/>
        <v>17</v>
      </c>
      <c r="L17" s="18">
        <v>0</v>
      </c>
      <c r="M17" s="16">
        <f>AD17+AG17</f>
        <v>0</v>
      </c>
      <c r="N17" s="18">
        <v>0</v>
      </c>
      <c r="O17" s="18">
        <v>0</v>
      </c>
      <c r="P17" s="18">
        <v>6</v>
      </c>
      <c r="Q17" s="25">
        <v>0</v>
      </c>
      <c r="R17" s="25">
        <v>10</v>
      </c>
      <c r="S17" s="18">
        <v>0</v>
      </c>
      <c r="T17" s="25">
        <v>1</v>
      </c>
      <c r="U17" s="18">
        <v>0</v>
      </c>
      <c r="V17" s="26">
        <v>0</v>
      </c>
      <c r="W17" s="20">
        <f>IFERROR(O17/V17,0)</f>
        <v>0</v>
      </c>
      <c r="X17" s="123">
        <v>0</v>
      </c>
      <c r="Y17" s="123"/>
      <c r="Z17" s="123"/>
      <c r="AA17" s="123">
        <v>0</v>
      </c>
      <c r="AB17" s="123"/>
      <c r="AC17" s="123"/>
      <c r="AD17" s="123">
        <v>0</v>
      </c>
      <c r="AE17" s="123"/>
      <c r="AF17" s="123"/>
      <c r="AG17" s="123">
        <v>0</v>
      </c>
      <c r="AH17" s="123"/>
      <c r="AI17" s="123"/>
      <c r="AJ17" s="27">
        <f>AD17+AG17+AA17+X17</f>
        <v>0</v>
      </c>
      <c r="AK17" s="28">
        <f>IFERROR(X17/N17,0)</f>
        <v>0</v>
      </c>
      <c r="AL17" s="133"/>
      <c r="AM17" s="128"/>
      <c r="AN17" s="128"/>
      <c r="AO17" s="158"/>
      <c r="AP17" s="158"/>
      <c r="AQ17" s="157"/>
      <c r="AR17" s="157"/>
      <c r="AS17" s="178"/>
      <c r="AT17" s="178"/>
    </row>
    <row r="18" spans="1:46" s="23" customFormat="1" ht="12.75" customHeight="1" x14ac:dyDescent="0.2">
      <c r="A18" s="15"/>
      <c r="B18" s="126"/>
      <c r="C18" s="98" t="s">
        <v>2272</v>
      </c>
      <c r="D18" s="98" t="s">
        <v>2427</v>
      </c>
      <c r="E18" s="98" t="s">
        <v>2393</v>
      </c>
      <c r="F18" s="94" t="s">
        <v>2381</v>
      </c>
      <c r="G18" s="98" t="s">
        <v>2380</v>
      </c>
      <c r="H18" s="98" t="s">
        <v>2382</v>
      </c>
      <c r="I18" s="98" t="s">
        <v>2269</v>
      </c>
      <c r="J18" s="93" t="s">
        <v>2261</v>
      </c>
      <c r="K18" s="75">
        <f>+M18+O18+P18+R18+T18</f>
        <v>360</v>
      </c>
      <c r="L18" s="18">
        <v>31.28</v>
      </c>
      <c r="M18" s="16">
        <v>14.68</v>
      </c>
      <c r="N18" s="18">
        <v>86.89</v>
      </c>
      <c r="O18" s="18">
        <v>13.52</v>
      </c>
      <c r="P18" s="18">
        <v>208.99</v>
      </c>
      <c r="Q18" s="18">
        <v>141.33000000000001</v>
      </c>
      <c r="R18" s="18">
        <v>48</v>
      </c>
      <c r="S18" s="18">
        <v>0</v>
      </c>
      <c r="T18" s="18">
        <v>74.81</v>
      </c>
      <c r="U18" s="18">
        <v>0</v>
      </c>
      <c r="V18" s="30">
        <f>M18+O18+S18+Q18+U18</f>
        <v>169.53</v>
      </c>
      <c r="W18" s="20">
        <f>+V18/K18</f>
        <v>0.47091666666666665</v>
      </c>
      <c r="X18" s="130">
        <v>0.68</v>
      </c>
      <c r="Y18" s="130"/>
      <c r="Z18" s="130"/>
      <c r="AA18" s="165">
        <f>18.7-X18</f>
        <v>18.02</v>
      </c>
      <c r="AB18" s="165"/>
      <c r="AC18" s="165"/>
      <c r="AD18" s="166">
        <f>141.33-AA18-X18</f>
        <v>122.63000000000001</v>
      </c>
      <c r="AE18" s="166"/>
      <c r="AF18" s="166"/>
      <c r="AG18" s="166">
        <v>0</v>
      </c>
      <c r="AH18" s="166"/>
      <c r="AI18" s="166"/>
      <c r="AJ18" s="21">
        <f>+X18+AA18+AD18+AG18</f>
        <v>141.33000000000001</v>
      </c>
      <c r="AK18" s="22">
        <f>AJ18/P18</f>
        <v>0.67625245227044362</v>
      </c>
      <c r="AL18" s="94" t="s">
        <v>2556</v>
      </c>
      <c r="AM18" s="93" t="s">
        <v>2463</v>
      </c>
      <c r="AN18" s="94" t="s">
        <v>2557</v>
      </c>
      <c r="AO18" s="167">
        <v>29975</v>
      </c>
      <c r="AP18" s="167">
        <v>29973</v>
      </c>
      <c r="AQ18" s="97">
        <v>50792480509</v>
      </c>
      <c r="AR18" s="97">
        <v>50446906656</v>
      </c>
      <c r="AS18" s="174">
        <v>51615855440</v>
      </c>
      <c r="AT18" s="174">
        <v>47059518689</v>
      </c>
    </row>
    <row r="19" spans="1:46" s="23" customFormat="1" ht="12.75" customHeight="1" x14ac:dyDescent="0.2">
      <c r="A19" s="15"/>
      <c r="B19" s="126"/>
      <c r="C19" s="98" t="s">
        <v>2271</v>
      </c>
      <c r="D19" s="98" t="s">
        <v>2427</v>
      </c>
      <c r="E19" s="98" t="s">
        <v>2393</v>
      </c>
      <c r="F19" s="98" t="s">
        <v>2361</v>
      </c>
      <c r="G19" s="98" t="s">
        <v>2362</v>
      </c>
      <c r="H19" s="98" t="s">
        <v>2363</v>
      </c>
      <c r="I19" s="98" t="s">
        <v>2235</v>
      </c>
      <c r="J19" s="93" t="s">
        <v>2258</v>
      </c>
      <c r="K19" s="74">
        <v>1</v>
      </c>
      <c r="L19" s="25">
        <v>0</v>
      </c>
      <c r="M19" s="16">
        <v>0</v>
      </c>
      <c r="N19" s="25">
        <v>1</v>
      </c>
      <c r="O19" s="25">
        <v>1</v>
      </c>
      <c r="P19" s="25">
        <v>1</v>
      </c>
      <c r="Q19" s="25">
        <v>0.82</v>
      </c>
      <c r="R19" s="25">
        <v>1</v>
      </c>
      <c r="S19" s="25">
        <v>0</v>
      </c>
      <c r="T19" s="25">
        <v>1</v>
      </c>
      <c r="U19" s="18">
        <v>0</v>
      </c>
      <c r="V19" s="31">
        <f>+AVERAGE(O19,Q19,S19,U19)</f>
        <v>0.45499999999999996</v>
      </c>
      <c r="W19" s="20">
        <f>+AVERAGE(O19,Q19,0,0)</f>
        <v>0.45499999999999996</v>
      </c>
      <c r="X19" s="130">
        <v>0.49</v>
      </c>
      <c r="Y19" s="130"/>
      <c r="Z19" s="130"/>
      <c r="AA19" s="122">
        <f>0.58-X19</f>
        <v>8.9999999999999969E-2</v>
      </c>
      <c r="AB19" s="122"/>
      <c r="AC19" s="122"/>
      <c r="AD19" s="122">
        <v>0.82</v>
      </c>
      <c r="AE19" s="122"/>
      <c r="AF19" s="122"/>
      <c r="AG19" s="123">
        <v>0</v>
      </c>
      <c r="AH19" s="123"/>
      <c r="AI19" s="123"/>
      <c r="AJ19" s="21">
        <f>MAX(X19,AA19,AD19)</f>
        <v>0.82</v>
      </c>
      <c r="AK19" s="28">
        <f>AJ19/P19</f>
        <v>0.82</v>
      </c>
      <c r="AL19" s="94" t="s">
        <v>2551</v>
      </c>
      <c r="AM19" s="94" t="s">
        <v>2499</v>
      </c>
      <c r="AN19" s="94" t="s">
        <v>2552</v>
      </c>
      <c r="AO19" s="95">
        <v>121</v>
      </c>
      <c r="AP19" s="95">
        <v>121</v>
      </c>
      <c r="AQ19" s="97">
        <v>153000000</v>
      </c>
      <c r="AR19" s="97">
        <v>153000000</v>
      </c>
      <c r="AS19" s="174">
        <v>295801231</v>
      </c>
      <c r="AT19" s="174">
        <v>266490441</v>
      </c>
    </row>
    <row r="20" spans="1:46" s="23" customFormat="1" ht="12.75" customHeight="1" x14ac:dyDescent="0.2">
      <c r="A20" s="15"/>
      <c r="B20" s="126"/>
      <c r="C20" s="134" t="s">
        <v>2394</v>
      </c>
      <c r="D20" s="134" t="s">
        <v>2427</v>
      </c>
      <c r="E20" s="134" t="s">
        <v>2393</v>
      </c>
      <c r="F20" s="134" t="s">
        <v>2323</v>
      </c>
      <c r="G20" s="98" t="s">
        <v>2322</v>
      </c>
      <c r="H20" s="134" t="s">
        <v>2343</v>
      </c>
      <c r="I20" s="98" t="s">
        <v>2235</v>
      </c>
      <c r="J20" s="93" t="s">
        <v>2261</v>
      </c>
      <c r="K20" s="75">
        <f>+L20+N20+P20+R20+T20</f>
        <v>30</v>
      </c>
      <c r="L20" s="18">
        <v>4.99</v>
      </c>
      <c r="M20" s="16">
        <v>4.99</v>
      </c>
      <c r="N20" s="18">
        <v>3.66</v>
      </c>
      <c r="O20" s="18">
        <v>3.66</v>
      </c>
      <c r="P20" s="18">
        <v>15</v>
      </c>
      <c r="Q20" s="25">
        <v>11.53</v>
      </c>
      <c r="R20" s="18">
        <v>4</v>
      </c>
      <c r="S20" s="18">
        <v>0</v>
      </c>
      <c r="T20" s="18">
        <v>2.35</v>
      </c>
      <c r="U20" s="18">
        <v>0</v>
      </c>
      <c r="V20" s="19">
        <f>M20+O20+S20+Q20+U20</f>
        <v>20.18</v>
      </c>
      <c r="W20" s="20">
        <f>(V20/K20)</f>
        <v>0.67266666666666663</v>
      </c>
      <c r="X20" s="121">
        <v>0.08</v>
      </c>
      <c r="Y20" s="130"/>
      <c r="Z20" s="130"/>
      <c r="AA20" s="122">
        <f>11.53-X20</f>
        <v>11.45</v>
      </c>
      <c r="AB20" s="122"/>
      <c r="AC20" s="122"/>
      <c r="AD20" s="122">
        <v>13.74</v>
      </c>
      <c r="AE20" s="122"/>
      <c r="AF20" s="122"/>
      <c r="AG20" s="123">
        <v>0</v>
      </c>
      <c r="AH20" s="123"/>
      <c r="AI20" s="123"/>
      <c r="AJ20" s="101">
        <f>+AD20</f>
        <v>13.74</v>
      </c>
      <c r="AK20" s="22">
        <f>AJ20/P20</f>
        <v>0.91600000000000004</v>
      </c>
      <c r="AL20" s="128" t="s">
        <v>2538</v>
      </c>
      <c r="AM20" s="128" t="s">
        <v>2500</v>
      </c>
      <c r="AN20" s="128" t="s">
        <v>2513</v>
      </c>
      <c r="AO20" s="92">
        <v>321</v>
      </c>
      <c r="AP20" s="92">
        <v>110</v>
      </c>
      <c r="AQ20" s="90">
        <v>707861700</v>
      </c>
      <c r="AR20" s="90">
        <v>707861700</v>
      </c>
      <c r="AS20" s="174">
        <v>334790400</v>
      </c>
      <c r="AT20" s="174">
        <v>257381400</v>
      </c>
    </row>
    <row r="21" spans="1:46" s="23" customFormat="1" ht="12.75" customHeight="1" x14ac:dyDescent="0.2">
      <c r="A21" s="15"/>
      <c r="B21" s="126"/>
      <c r="C21" s="134"/>
      <c r="D21" s="134"/>
      <c r="E21" s="134"/>
      <c r="F21" s="134"/>
      <c r="G21" s="98" t="s">
        <v>2322</v>
      </c>
      <c r="H21" s="134"/>
      <c r="I21" s="98" t="s">
        <v>2269</v>
      </c>
      <c r="J21" s="93" t="s">
        <v>2261</v>
      </c>
      <c r="K21" s="75">
        <f>+L21+N21+P21+R21+T21</f>
        <v>87.98</v>
      </c>
      <c r="L21" s="18">
        <v>0</v>
      </c>
      <c r="M21" s="16">
        <v>0</v>
      </c>
      <c r="N21" s="18">
        <v>11.95</v>
      </c>
      <c r="O21" s="18">
        <v>11.95</v>
      </c>
      <c r="P21" s="18">
        <v>39</v>
      </c>
      <c r="Q21" s="25">
        <v>1.77</v>
      </c>
      <c r="R21" s="18">
        <v>27.12</v>
      </c>
      <c r="S21" s="18">
        <v>0</v>
      </c>
      <c r="T21" s="18">
        <v>9.91</v>
      </c>
      <c r="U21" s="18">
        <v>0</v>
      </c>
      <c r="V21" s="19">
        <f>M21+O21+S21+Q21+U21</f>
        <v>13.719999999999999</v>
      </c>
      <c r="W21" s="20">
        <f>(V21/110)</f>
        <v>0.12472727272727271</v>
      </c>
      <c r="X21" s="121">
        <v>1.1200000000000001</v>
      </c>
      <c r="Y21" s="130"/>
      <c r="Z21" s="130"/>
      <c r="AA21" s="122">
        <f>1.77-X21</f>
        <v>0.64999999999999991</v>
      </c>
      <c r="AB21" s="122"/>
      <c r="AC21" s="122"/>
      <c r="AD21" s="122">
        <v>12.34</v>
      </c>
      <c r="AE21" s="122"/>
      <c r="AF21" s="122"/>
      <c r="AG21" s="123">
        <v>0</v>
      </c>
      <c r="AH21" s="123"/>
      <c r="AI21" s="123"/>
      <c r="AJ21" s="101">
        <f>+AD21</f>
        <v>12.34</v>
      </c>
      <c r="AK21" s="22">
        <f t="shared" ref="AK21:AK22" si="1">AJ21/P21</f>
        <v>0.31641025641025639</v>
      </c>
      <c r="AL21" s="128"/>
      <c r="AM21" s="128"/>
      <c r="AN21" s="128"/>
      <c r="AO21" s="92">
        <v>250</v>
      </c>
      <c r="AP21" s="92">
        <v>250</v>
      </c>
      <c r="AQ21" s="90">
        <v>57935582146</v>
      </c>
      <c r="AR21" s="90">
        <v>57935582146</v>
      </c>
      <c r="AS21" s="174">
        <v>56245243700</v>
      </c>
      <c r="AT21" s="174">
        <v>49907000000</v>
      </c>
    </row>
    <row r="22" spans="1:46" s="23" customFormat="1" ht="12.75" customHeight="1" x14ac:dyDescent="0.2">
      <c r="A22" s="15"/>
      <c r="B22" s="126"/>
      <c r="C22" s="134"/>
      <c r="D22" s="134"/>
      <c r="E22" s="134"/>
      <c r="F22" s="134"/>
      <c r="G22" s="98" t="s">
        <v>2322</v>
      </c>
      <c r="H22" s="134"/>
      <c r="I22" s="98" t="s">
        <v>2270</v>
      </c>
      <c r="J22" s="93" t="s">
        <v>2261</v>
      </c>
      <c r="K22" s="75">
        <f>+L22+N22+P22+R22+T22</f>
        <v>79</v>
      </c>
      <c r="L22" s="18">
        <v>8.73</v>
      </c>
      <c r="M22" s="16">
        <v>8.73</v>
      </c>
      <c r="N22" s="18">
        <v>27.53</v>
      </c>
      <c r="O22" s="18">
        <v>27.53</v>
      </c>
      <c r="P22" s="18">
        <v>20.3</v>
      </c>
      <c r="Q22" s="25">
        <v>10.24</v>
      </c>
      <c r="R22" s="18">
        <v>15.3</v>
      </c>
      <c r="S22" s="18">
        <v>0</v>
      </c>
      <c r="T22" s="18">
        <v>7.14</v>
      </c>
      <c r="U22" s="18">
        <v>0</v>
      </c>
      <c r="V22" s="19">
        <f>M22+O22+S22+Q22+U22</f>
        <v>46.500000000000007</v>
      </c>
      <c r="W22" s="20">
        <f>(V22/K22)</f>
        <v>0.588607594936709</v>
      </c>
      <c r="X22" s="121">
        <v>8.5</v>
      </c>
      <c r="Y22" s="130"/>
      <c r="Z22" s="130"/>
      <c r="AA22" s="122">
        <f>10.24-X22</f>
        <v>1.7400000000000002</v>
      </c>
      <c r="AB22" s="122"/>
      <c r="AC22" s="122"/>
      <c r="AD22" s="122">
        <v>19.66</v>
      </c>
      <c r="AE22" s="122"/>
      <c r="AF22" s="122"/>
      <c r="AG22" s="123">
        <v>0</v>
      </c>
      <c r="AH22" s="123"/>
      <c r="AI22" s="123"/>
      <c r="AJ22" s="101">
        <f>+AD22</f>
        <v>19.66</v>
      </c>
      <c r="AK22" s="22">
        <f t="shared" si="1"/>
        <v>0.9684729064039409</v>
      </c>
      <c r="AL22" s="128"/>
      <c r="AM22" s="128"/>
      <c r="AN22" s="128"/>
      <c r="AO22" s="92">
        <v>323</v>
      </c>
      <c r="AP22" s="92">
        <v>303</v>
      </c>
      <c r="AQ22" s="90">
        <v>12570900327</v>
      </c>
      <c r="AR22" s="90">
        <v>12570900327</v>
      </c>
      <c r="AS22" s="174">
        <v>10926433117</v>
      </c>
      <c r="AT22" s="174">
        <v>10627224669</v>
      </c>
    </row>
    <row r="23" spans="1:46" s="23" customFormat="1" ht="12.75" customHeight="1" x14ac:dyDescent="0.2">
      <c r="A23" s="15"/>
      <c r="B23" s="126"/>
      <c r="C23" s="134" t="s">
        <v>2272</v>
      </c>
      <c r="D23" s="134" t="s">
        <v>2427</v>
      </c>
      <c r="E23" s="171" t="s">
        <v>2393</v>
      </c>
      <c r="F23" s="134" t="s">
        <v>2324</v>
      </c>
      <c r="G23" s="98" t="s">
        <v>2325</v>
      </c>
      <c r="H23" s="134" t="s">
        <v>2326</v>
      </c>
      <c r="I23" s="98" t="s">
        <v>2269</v>
      </c>
      <c r="J23" s="93" t="s">
        <v>2261</v>
      </c>
      <c r="K23" s="75">
        <f>+L23+N23+P23+R23+T23</f>
        <v>938</v>
      </c>
      <c r="L23" s="18">
        <v>11.95</v>
      </c>
      <c r="M23" s="16">
        <v>11.95</v>
      </c>
      <c r="N23" s="18">
        <v>220.51</v>
      </c>
      <c r="O23" s="18">
        <v>220.51</v>
      </c>
      <c r="P23" s="18">
        <v>234.67</v>
      </c>
      <c r="Q23" s="25">
        <v>155.1</v>
      </c>
      <c r="R23" s="18">
        <v>413.09</v>
      </c>
      <c r="S23" s="18">
        <v>0</v>
      </c>
      <c r="T23" s="18">
        <v>57.78</v>
      </c>
      <c r="U23" s="18">
        <v>0</v>
      </c>
      <c r="V23" s="30">
        <f>M23+O23+S23+Q23+U23</f>
        <v>387.55999999999995</v>
      </c>
      <c r="W23" s="20">
        <f>(V23/938)</f>
        <v>0.41317697228144984</v>
      </c>
      <c r="X23" s="130">
        <v>68.16</v>
      </c>
      <c r="Y23" s="130"/>
      <c r="Z23" s="130"/>
      <c r="AA23" s="123">
        <f>106.63-X23</f>
        <v>38.47</v>
      </c>
      <c r="AB23" s="123"/>
      <c r="AC23" s="123"/>
      <c r="AD23" s="156">
        <v>48.47</v>
      </c>
      <c r="AE23" s="156"/>
      <c r="AF23" s="156"/>
      <c r="AG23" s="123">
        <v>0</v>
      </c>
      <c r="AH23" s="123"/>
      <c r="AI23" s="123"/>
      <c r="AJ23" s="101">
        <f>+X23+AA23+AD23+AG23</f>
        <v>155.1</v>
      </c>
      <c r="AK23" s="22">
        <f>+AJ23/P23</f>
        <v>0.6609281118165935</v>
      </c>
      <c r="AL23" s="128" t="s">
        <v>2539</v>
      </c>
      <c r="AM23" s="128" t="s">
        <v>2500</v>
      </c>
      <c r="AN23" s="128" t="s">
        <v>2540</v>
      </c>
      <c r="AO23" s="92">
        <v>183178</v>
      </c>
      <c r="AP23" s="92">
        <v>170460</v>
      </c>
      <c r="AQ23" s="90">
        <v>274331391632</v>
      </c>
      <c r="AR23" s="90">
        <v>262468515111</v>
      </c>
      <c r="AS23" s="174">
        <v>244580362068</v>
      </c>
      <c r="AT23" s="174">
        <v>169313223830</v>
      </c>
    </row>
    <row r="24" spans="1:46" s="23" customFormat="1" ht="12.75" customHeight="1" x14ac:dyDescent="0.2">
      <c r="A24" s="15"/>
      <c r="B24" s="126"/>
      <c r="C24" s="134"/>
      <c r="D24" s="134"/>
      <c r="E24" s="171"/>
      <c r="F24" s="134"/>
      <c r="G24" s="98" t="s">
        <v>2325</v>
      </c>
      <c r="H24" s="134"/>
      <c r="I24" s="98" t="s">
        <v>2270</v>
      </c>
      <c r="J24" s="93" t="s">
        <v>2261</v>
      </c>
      <c r="K24" s="75">
        <f>+L24+N24+P24+R24+T24</f>
        <v>1474.94</v>
      </c>
      <c r="L24" s="18">
        <v>245.35</v>
      </c>
      <c r="M24" s="16">
        <v>245.35</v>
      </c>
      <c r="N24" s="18">
        <v>407.52</v>
      </c>
      <c r="O24" s="18">
        <v>407.52</v>
      </c>
      <c r="P24" s="18">
        <v>486.25</v>
      </c>
      <c r="Q24" s="25">
        <v>422.05</v>
      </c>
      <c r="R24" s="18">
        <v>211.13</v>
      </c>
      <c r="S24" s="18">
        <v>0</v>
      </c>
      <c r="T24" s="18">
        <v>124.69</v>
      </c>
      <c r="U24" s="18">
        <v>0</v>
      </c>
      <c r="V24" s="30">
        <f>M24+O24+S24+Q24+U24</f>
        <v>1074.92</v>
      </c>
      <c r="W24" s="20">
        <f>(V24/K24)</f>
        <v>0.72878896768682122</v>
      </c>
      <c r="X24" s="130">
        <v>202.93</v>
      </c>
      <c r="Y24" s="130"/>
      <c r="Z24" s="130"/>
      <c r="AA24" s="122">
        <f>321.26-X24</f>
        <v>118.32999999999998</v>
      </c>
      <c r="AB24" s="122"/>
      <c r="AC24" s="122"/>
      <c r="AD24" s="122">
        <v>100.79</v>
      </c>
      <c r="AE24" s="122"/>
      <c r="AF24" s="122"/>
      <c r="AG24" s="123">
        <v>0</v>
      </c>
      <c r="AH24" s="123"/>
      <c r="AI24" s="123"/>
      <c r="AJ24" s="101">
        <f>+X24+AA24+AD24+AG24</f>
        <v>422.05</v>
      </c>
      <c r="AK24" s="22">
        <f>+AJ24/P24</f>
        <v>0.86796915167095123</v>
      </c>
      <c r="AL24" s="128"/>
      <c r="AM24" s="128"/>
      <c r="AN24" s="128"/>
      <c r="AO24" s="92">
        <v>45604</v>
      </c>
      <c r="AP24" s="92">
        <v>39814</v>
      </c>
      <c r="AQ24" s="90">
        <v>113290768007</v>
      </c>
      <c r="AR24" s="90">
        <v>106994330826</v>
      </c>
      <c r="AS24" s="174">
        <v>138691479349</v>
      </c>
      <c r="AT24" s="174">
        <v>109782914084</v>
      </c>
    </row>
    <row r="25" spans="1:46" s="23" customFormat="1" ht="12.75" customHeight="1" x14ac:dyDescent="0.2">
      <c r="A25" s="15"/>
      <c r="B25" s="126"/>
      <c r="C25" s="98" t="s">
        <v>2272</v>
      </c>
      <c r="D25" s="98" t="s">
        <v>2427</v>
      </c>
      <c r="E25" s="98" t="s">
        <v>2393</v>
      </c>
      <c r="F25" s="98" t="s">
        <v>2378</v>
      </c>
      <c r="G25" s="98" t="s">
        <v>2377</v>
      </c>
      <c r="H25" s="98" t="s">
        <v>2379</v>
      </c>
      <c r="I25" s="98" t="s">
        <v>2235</v>
      </c>
      <c r="J25" s="93" t="s">
        <v>2258</v>
      </c>
      <c r="K25" s="76">
        <v>50</v>
      </c>
      <c r="L25" s="25">
        <v>50</v>
      </c>
      <c r="M25" s="16">
        <v>43.85</v>
      </c>
      <c r="N25" s="25">
        <v>50</v>
      </c>
      <c r="O25" s="25">
        <v>45.6</v>
      </c>
      <c r="P25" s="25">
        <v>50</v>
      </c>
      <c r="Q25" s="25">
        <v>53.17</v>
      </c>
      <c r="R25" s="25">
        <v>50</v>
      </c>
      <c r="S25" s="18">
        <v>0</v>
      </c>
      <c r="T25" s="25">
        <v>50</v>
      </c>
      <c r="U25" s="18">
        <v>0</v>
      </c>
      <c r="V25" s="32">
        <f>+AVERAGE(M25,O25,Q25)</f>
        <v>47.54</v>
      </c>
      <c r="W25" s="20">
        <f>50/V25</f>
        <v>1.0517458981909971</v>
      </c>
      <c r="X25" s="121">
        <v>51.8</v>
      </c>
      <c r="Y25" s="130"/>
      <c r="Z25" s="130"/>
      <c r="AA25" s="122">
        <v>53.17</v>
      </c>
      <c r="AB25" s="122"/>
      <c r="AC25" s="122"/>
      <c r="AD25" s="123">
        <v>0</v>
      </c>
      <c r="AE25" s="123"/>
      <c r="AF25" s="123"/>
      <c r="AG25" s="123">
        <v>0</v>
      </c>
      <c r="AH25" s="123"/>
      <c r="AI25" s="123"/>
      <c r="AJ25" s="101">
        <f>+AA25</f>
        <v>53.17</v>
      </c>
      <c r="AK25" s="22">
        <f>+P25/AJ25</f>
        <v>0.9403799134850479</v>
      </c>
      <c r="AL25" s="94" t="s">
        <v>2510</v>
      </c>
      <c r="AM25" s="93" t="s">
        <v>2588</v>
      </c>
      <c r="AN25" s="93" t="s">
        <v>2511</v>
      </c>
      <c r="AO25" s="92">
        <v>89038</v>
      </c>
      <c r="AP25" s="92">
        <v>88330</v>
      </c>
      <c r="AQ25" s="91">
        <v>158464998049</v>
      </c>
      <c r="AR25" s="91">
        <v>156754214655</v>
      </c>
      <c r="AS25" s="174">
        <v>171115896456</v>
      </c>
      <c r="AT25" s="174">
        <v>127403674183</v>
      </c>
    </row>
    <row r="26" spans="1:46" s="23" customFormat="1" ht="12.75" customHeight="1" x14ac:dyDescent="0.2">
      <c r="A26" s="15"/>
      <c r="B26" s="126"/>
      <c r="C26" s="98" t="s">
        <v>2273</v>
      </c>
      <c r="D26" s="98" t="s">
        <v>2427</v>
      </c>
      <c r="E26" s="98" t="s">
        <v>2393</v>
      </c>
      <c r="F26" s="98" t="s">
        <v>2351</v>
      </c>
      <c r="G26" s="98" t="s">
        <v>2345</v>
      </c>
      <c r="H26" s="98" t="s">
        <v>2375</v>
      </c>
      <c r="I26" s="98" t="s">
        <v>2235</v>
      </c>
      <c r="J26" s="93" t="s">
        <v>2260</v>
      </c>
      <c r="K26" s="76">
        <v>404</v>
      </c>
      <c r="L26" s="18">
        <v>473</v>
      </c>
      <c r="M26" s="16">
        <v>371</v>
      </c>
      <c r="N26" s="18">
        <v>449</v>
      </c>
      <c r="O26" s="18">
        <v>458</v>
      </c>
      <c r="P26" s="18">
        <v>425</v>
      </c>
      <c r="Q26" s="25">
        <v>458</v>
      </c>
      <c r="R26" s="25">
        <v>405</v>
      </c>
      <c r="S26" s="18">
        <v>0</v>
      </c>
      <c r="T26" s="25">
        <v>404</v>
      </c>
      <c r="U26" s="18">
        <v>0</v>
      </c>
      <c r="V26" s="32">
        <v>404</v>
      </c>
      <c r="W26" s="20">
        <f>404/458</f>
        <v>0.88209606986899558</v>
      </c>
      <c r="X26" s="130">
        <v>458</v>
      </c>
      <c r="Y26" s="130"/>
      <c r="Z26" s="130"/>
      <c r="AA26" s="123">
        <v>458</v>
      </c>
      <c r="AB26" s="123"/>
      <c r="AC26" s="123"/>
      <c r="AD26" s="123">
        <v>458</v>
      </c>
      <c r="AE26" s="123"/>
      <c r="AF26" s="123"/>
      <c r="AG26" s="123">
        <v>0</v>
      </c>
      <c r="AH26" s="123"/>
      <c r="AI26" s="123"/>
      <c r="AJ26" s="33">
        <f>X26</f>
        <v>458</v>
      </c>
      <c r="AK26" s="22">
        <f>+P26/X26</f>
        <v>0.92794759825327511</v>
      </c>
      <c r="AL26" s="128" t="s">
        <v>2527</v>
      </c>
      <c r="AM26" s="128" t="s">
        <v>2528</v>
      </c>
      <c r="AN26" s="128" t="s">
        <v>2529</v>
      </c>
      <c r="AO26" s="124">
        <v>19877</v>
      </c>
      <c r="AP26" s="124">
        <v>15454</v>
      </c>
      <c r="AQ26" s="160">
        <v>59503141942</v>
      </c>
      <c r="AR26" s="160">
        <v>58088738158</v>
      </c>
      <c r="AS26" s="178">
        <v>96034727095</v>
      </c>
      <c r="AT26" s="178">
        <v>64584965632</v>
      </c>
    </row>
    <row r="27" spans="1:46" s="23" customFormat="1" ht="12.75" customHeight="1" x14ac:dyDescent="0.2">
      <c r="A27" s="15"/>
      <c r="B27" s="126"/>
      <c r="C27" s="98" t="s">
        <v>2273</v>
      </c>
      <c r="D27" s="98" t="s">
        <v>2427</v>
      </c>
      <c r="E27" s="98" t="s">
        <v>2393</v>
      </c>
      <c r="F27" s="98" t="s">
        <v>2487</v>
      </c>
      <c r="G27" s="98" t="s">
        <v>2345</v>
      </c>
      <c r="H27" s="98" t="s">
        <v>2477</v>
      </c>
      <c r="I27" s="98" t="s">
        <v>2235</v>
      </c>
      <c r="J27" s="93" t="s">
        <v>2260</v>
      </c>
      <c r="K27" s="76">
        <v>146</v>
      </c>
      <c r="L27" s="18">
        <v>172</v>
      </c>
      <c r="M27" s="16">
        <v>150</v>
      </c>
      <c r="N27" s="18">
        <v>163</v>
      </c>
      <c r="O27" s="18">
        <v>153</v>
      </c>
      <c r="P27" s="18">
        <v>154</v>
      </c>
      <c r="Q27" s="25">
        <v>153</v>
      </c>
      <c r="R27" s="25">
        <v>147</v>
      </c>
      <c r="S27" s="18">
        <v>0</v>
      </c>
      <c r="T27" s="25">
        <v>146</v>
      </c>
      <c r="U27" s="18">
        <v>0</v>
      </c>
      <c r="V27" s="32">
        <f>O27</f>
        <v>153</v>
      </c>
      <c r="W27" s="20">
        <f>T27/O27</f>
        <v>0.95424836601307195</v>
      </c>
      <c r="X27" s="130">
        <v>153</v>
      </c>
      <c r="Y27" s="130"/>
      <c r="Z27" s="130"/>
      <c r="AA27" s="123">
        <v>153</v>
      </c>
      <c r="AB27" s="123"/>
      <c r="AC27" s="123"/>
      <c r="AD27" s="123">
        <v>153</v>
      </c>
      <c r="AE27" s="123"/>
      <c r="AF27" s="123"/>
      <c r="AG27" s="123">
        <v>0</v>
      </c>
      <c r="AH27" s="123"/>
      <c r="AI27" s="123"/>
      <c r="AJ27" s="89">
        <f>X27</f>
        <v>153</v>
      </c>
      <c r="AK27" s="34">
        <f>P27/O27</f>
        <v>1.0065359477124183</v>
      </c>
      <c r="AL27" s="128"/>
      <c r="AM27" s="128"/>
      <c r="AN27" s="128"/>
      <c r="AO27" s="124"/>
      <c r="AP27" s="124"/>
      <c r="AQ27" s="160"/>
      <c r="AR27" s="160"/>
      <c r="AS27" s="178"/>
      <c r="AT27" s="178"/>
    </row>
    <row r="28" spans="1:46" s="23" customFormat="1" ht="12.75" customHeight="1" x14ac:dyDescent="0.2">
      <c r="A28" s="15"/>
      <c r="B28" s="126"/>
      <c r="C28" s="98" t="s">
        <v>2273</v>
      </c>
      <c r="D28" s="98" t="s">
        <v>2427</v>
      </c>
      <c r="E28" s="98" t="s">
        <v>2393</v>
      </c>
      <c r="F28" s="98" t="s">
        <v>2374</v>
      </c>
      <c r="G28" s="98" t="s">
        <v>2373</v>
      </c>
      <c r="H28" s="98" t="s">
        <v>2376</v>
      </c>
      <c r="I28" s="98" t="s">
        <v>2235</v>
      </c>
      <c r="J28" s="93" t="s">
        <v>2258</v>
      </c>
      <c r="K28" s="75">
        <v>1</v>
      </c>
      <c r="L28" s="18">
        <v>1</v>
      </c>
      <c r="M28" s="16">
        <v>1</v>
      </c>
      <c r="N28" s="18">
        <v>1</v>
      </c>
      <c r="O28" s="18">
        <v>1</v>
      </c>
      <c r="P28" s="18">
        <v>1</v>
      </c>
      <c r="Q28" s="18">
        <v>0.75</v>
      </c>
      <c r="R28" s="18">
        <v>1</v>
      </c>
      <c r="S28" s="18">
        <v>0</v>
      </c>
      <c r="T28" s="18">
        <v>1</v>
      </c>
      <c r="U28" s="18">
        <v>0</v>
      </c>
      <c r="V28" s="19">
        <f>+AVERAGE(M28,O28,Q28,0,0)</f>
        <v>0.55000000000000004</v>
      </c>
      <c r="W28" s="35">
        <f>+V28/K28</f>
        <v>0.55000000000000004</v>
      </c>
      <c r="X28" s="130">
        <v>0.25</v>
      </c>
      <c r="Y28" s="130"/>
      <c r="Z28" s="130"/>
      <c r="AA28" s="165">
        <v>0.25</v>
      </c>
      <c r="AB28" s="165"/>
      <c r="AC28" s="165"/>
      <c r="AD28" s="165">
        <v>0.25</v>
      </c>
      <c r="AE28" s="165"/>
      <c r="AF28" s="165"/>
      <c r="AG28" s="166">
        <v>0</v>
      </c>
      <c r="AH28" s="166"/>
      <c r="AI28" s="166"/>
      <c r="AJ28" s="86">
        <f>+X28+AA28+AD28+AG28</f>
        <v>0.75</v>
      </c>
      <c r="AK28" s="28">
        <f>+AJ28/P28</f>
        <v>0.75</v>
      </c>
      <c r="AL28" s="93" t="s">
        <v>2565</v>
      </c>
      <c r="AM28" s="93" t="s">
        <v>2492</v>
      </c>
      <c r="AN28" s="93" t="s">
        <v>2566</v>
      </c>
      <c r="AO28" s="40">
        <v>823</v>
      </c>
      <c r="AP28" s="40">
        <v>823</v>
      </c>
      <c r="AQ28" s="90">
        <v>1378342278</v>
      </c>
      <c r="AR28" s="90">
        <v>1378342278</v>
      </c>
      <c r="AS28" s="174">
        <v>1780800000</v>
      </c>
      <c r="AT28" s="174">
        <v>1691561272</v>
      </c>
    </row>
    <row r="29" spans="1:46" s="23" customFormat="1" ht="12.75" customHeight="1" x14ac:dyDescent="0.2">
      <c r="A29" s="15"/>
      <c r="B29" s="126"/>
      <c r="C29" s="134" t="s">
        <v>2271</v>
      </c>
      <c r="D29" s="134" t="s">
        <v>2427</v>
      </c>
      <c r="E29" s="134" t="s">
        <v>2393</v>
      </c>
      <c r="F29" s="134" t="s">
        <v>2353</v>
      </c>
      <c r="G29" s="98" t="s">
        <v>2352</v>
      </c>
      <c r="H29" s="134" t="s">
        <v>2354</v>
      </c>
      <c r="I29" s="98" t="s">
        <v>2270</v>
      </c>
      <c r="J29" s="93" t="s">
        <v>2261</v>
      </c>
      <c r="K29" s="75">
        <f>+L29+N29+P29+R29+T29</f>
        <v>0.25</v>
      </c>
      <c r="L29" s="18">
        <v>0.01</v>
      </c>
      <c r="M29" s="16">
        <v>0.01</v>
      </c>
      <c r="N29" s="18">
        <v>0.04</v>
      </c>
      <c r="O29" s="18">
        <v>0.04</v>
      </c>
      <c r="P29" s="18">
        <v>0.08</v>
      </c>
      <c r="Q29" s="25">
        <v>7.0000000000000007E-2</v>
      </c>
      <c r="R29" s="25">
        <v>0.09</v>
      </c>
      <c r="S29" s="18">
        <v>0</v>
      </c>
      <c r="T29" s="25">
        <v>0.03</v>
      </c>
      <c r="U29" s="18">
        <v>0</v>
      </c>
      <c r="V29" s="30">
        <f>M29+O29+S29+Q29+U29</f>
        <v>0.12000000000000001</v>
      </c>
      <c r="W29" s="20">
        <f>(V29/K29)</f>
        <v>0.48000000000000004</v>
      </c>
      <c r="X29" s="130">
        <v>0.02</v>
      </c>
      <c r="Y29" s="130"/>
      <c r="Z29" s="130"/>
      <c r="AA29" s="122">
        <v>0.04</v>
      </c>
      <c r="AB29" s="122"/>
      <c r="AC29" s="122"/>
      <c r="AD29" s="122">
        <v>7.0000000000000007E-2</v>
      </c>
      <c r="AE29" s="122"/>
      <c r="AF29" s="122"/>
      <c r="AG29" s="123">
        <v>0</v>
      </c>
      <c r="AH29" s="123"/>
      <c r="AI29" s="123"/>
      <c r="AJ29" s="101">
        <f>MAX(X29,AA29,AD29,AG29)</f>
        <v>7.0000000000000007E-2</v>
      </c>
      <c r="AK29" s="102">
        <f>AJ29/P29</f>
        <v>0.87500000000000011</v>
      </c>
      <c r="AL29" s="128" t="s">
        <v>2549</v>
      </c>
      <c r="AM29" s="128" t="s">
        <v>2492</v>
      </c>
      <c r="AN29" s="128" t="s">
        <v>2550</v>
      </c>
      <c r="AO29" s="92">
        <v>19</v>
      </c>
      <c r="AP29" s="92">
        <v>19</v>
      </c>
      <c r="AQ29" s="90">
        <v>129866666</v>
      </c>
      <c r="AR29" s="90">
        <v>129098666</v>
      </c>
      <c r="AS29" s="174">
        <v>186316000</v>
      </c>
      <c r="AT29" s="174">
        <v>186316000</v>
      </c>
    </row>
    <row r="30" spans="1:46" s="23" customFormat="1" ht="12.75" customHeight="1" x14ac:dyDescent="0.2">
      <c r="A30" s="15"/>
      <c r="B30" s="126"/>
      <c r="C30" s="134"/>
      <c r="D30" s="134"/>
      <c r="E30" s="134"/>
      <c r="F30" s="134"/>
      <c r="G30" s="98" t="s">
        <v>2352</v>
      </c>
      <c r="H30" s="134"/>
      <c r="I30" s="98" t="s">
        <v>2235</v>
      </c>
      <c r="J30" s="93" t="s">
        <v>2261</v>
      </c>
      <c r="K30" s="75">
        <f>+L30+N30+P30+R30+T30</f>
        <v>0.25</v>
      </c>
      <c r="L30" s="18">
        <v>0.05</v>
      </c>
      <c r="M30" s="16">
        <v>0.05</v>
      </c>
      <c r="N30" s="18">
        <v>0.05</v>
      </c>
      <c r="O30" s="18">
        <v>0.05</v>
      </c>
      <c r="P30" s="18">
        <v>0.05</v>
      </c>
      <c r="Q30" s="25">
        <v>0.04</v>
      </c>
      <c r="R30" s="25">
        <v>0.05</v>
      </c>
      <c r="S30" s="18">
        <v>0</v>
      </c>
      <c r="T30" s="25">
        <v>0.05</v>
      </c>
      <c r="U30" s="18">
        <v>0</v>
      </c>
      <c r="V30" s="30">
        <f t="shared" ref="V30:V33" si="2">M30+O30+S30+Q30+U30</f>
        <v>0.14000000000000001</v>
      </c>
      <c r="W30" s="20">
        <f t="shared" ref="W30:W33" si="3">(V30/K30)</f>
        <v>0.56000000000000005</v>
      </c>
      <c r="X30" s="130">
        <v>0.01</v>
      </c>
      <c r="Y30" s="130"/>
      <c r="Z30" s="130"/>
      <c r="AA30" s="122">
        <v>0.02</v>
      </c>
      <c r="AB30" s="122"/>
      <c r="AC30" s="122"/>
      <c r="AD30" s="122">
        <v>0.04</v>
      </c>
      <c r="AE30" s="122"/>
      <c r="AF30" s="122"/>
      <c r="AG30" s="123">
        <v>0</v>
      </c>
      <c r="AH30" s="123"/>
      <c r="AI30" s="123"/>
      <c r="AJ30" s="101">
        <f t="shared" ref="AJ30:AJ33" si="4">MAX(X30,AA30,AD30,AG30)</f>
        <v>0.04</v>
      </c>
      <c r="AK30" s="102">
        <f t="shared" ref="AK30:AK33" si="5">AJ30/P30</f>
        <v>0.79999999999999993</v>
      </c>
      <c r="AL30" s="128"/>
      <c r="AM30" s="128"/>
      <c r="AN30" s="128"/>
      <c r="AO30" s="92">
        <v>3002</v>
      </c>
      <c r="AP30" s="92">
        <v>3002</v>
      </c>
      <c r="AQ30" s="90">
        <v>5321751009</v>
      </c>
      <c r="AR30" s="90">
        <v>5308222354</v>
      </c>
      <c r="AS30" s="174">
        <v>7095388000</v>
      </c>
      <c r="AT30" s="174">
        <v>5240350500</v>
      </c>
    </row>
    <row r="31" spans="1:46" s="23" customFormat="1" ht="12.75" customHeight="1" x14ac:dyDescent="0.2">
      <c r="A31" s="15"/>
      <c r="B31" s="126"/>
      <c r="C31" s="134"/>
      <c r="D31" s="134"/>
      <c r="E31" s="134"/>
      <c r="F31" s="134"/>
      <c r="G31" s="98" t="s">
        <v>2352</v>
      </c>
      <c r="H31" s="134"/>
      <c r="I31" s="98" t="s">
        <v>2389</v>
      </c>
      <c r="J31" s="93" t="s">
        <v>2261</v>
      </c>
      <c r="K31" s="75">
        <f>+L31+N31+P31+R31+T31</f>
        <v>0.25</v>
      </c>
      <c r="L31" s="18">
        <v>0</v>
      </c>
      <c r="M31" s="16">
        <v>0</v>
      </c>
      <c r="N31" s="18">
        <v>0</v>
      </c>
      <c r="O31" s="18">
        <v>0</v>
      </c>
      <c r="P31" s="18">
        <v>0.09</v>
      </c>
      <c r="Q31" s="25">
        <v>0.04</v>
      </c>
      <c r="R31" s="25">
        <v>0.1</v>
      </c>
      <c r="S31" s="18">
        <v>0</v>
      </c>
      <c r="T31" s="25">
        <v>0.06</v>
      </c>
      <c r="U31" s="18">
        <v>0</v>
      </c>
      <c r="V31" s="30">
        <f t="shared" si="2"/>
        <v>0.04</v>
      </c>
      <c r="W31" s="20">
        <f>(V31/K31)</f>
        <v>0.16</v>
      </c>
      <c r="X31" s="121">
        <v>0.01</v>
      </c>
      <c r="Y31" s="121"/>
      <c r="Z31" s="121"/>
      <c r="AA31" s="122">
        <v>0</v>
      </c>
      <c r="AB31" s="122"/>
      <c r="AC31" s="122"/>
      <c r="AD31" s="122">
        <v>0.04</v>
      </c>
      <c r="AE31" s="122"/>
      <c r="AF31" s="122"/>
      <c r="AG31" s="123">
        <v>0</v>
      </c>
      <c r="AH31" s="123"/>
      <c r="AI31" s="123"/>
      <c r="AJ31" s="101">
        <f t="shared" si="4"/>
        <v>0.04</v>
      </c>
      <c r="AK31" s="102">
        <f t="shared" si="5"/>
        <v>0.44444444444444448</v>
      </c>
      <c r="AL31" s="128"/>
      <c r="AM31" s="128"/>
      <c r="AN31" s="128"/>
      <c r="AO31" s="92">
        <v>0</v>
      </c>
      <c r="AP31" s="92">
        <v>0</v>
      </c>
      <c r="AQ31" s="90">
        <v>216009400</v>
      </c>
      <c r="AR31" s="90">
        <v>202564270</v>
      </c>
      <c r="AS31" s="174">
        <v>2340815000</v>
      </c>
      <c r="AT31" s="174">
        <v>1940814800</v>
      </c>
    </row>
    <row r="32" spans="1:46" s="23" customFormat="1" ht="12.75" customHeight="1" x14ac:dyDescent="0.2">
      <c r="A32" s="15"/>
      <c r="B32" s="126"/>
      <c r="C32" s="134"/>
      <c r="D32" s="134"/>
      <c r="E32" s="134"/>
      <c r="F32" s="134"/>
      <c r="G32" s="98" t="s">
        <v>2352</v>
      </c>
      <c r="H32" s="134"/>
      <c r="I32" s="98" t="s">
        <v>2269</v>
      </c>
      <c r="J32" s="93" t="s">
        <v>2261</v>
      </c>
      <c r="K32" s="75">
        <f>+L32+N32+P32+R32+T32</f>
        <v>0.25</v>
      </c>
      <c r="L32" s="18">
        <v>0</v>
      </c>
      <c r="M32" s="16">
        <v>0</v>
      </c>
      <c r="N32" s="18">
        <v>0</v>
      </c>
      <c r="O32" s="18">
        <v>0</v>
      </c>
      <c r="P32" s="18">
        <v>0</v>
      </c>
      <c r="Q32" s="25">
        <v>0</v>
      </c>
      <c r="R32" s="25">
        <v>0.15</v>
      </c>
      <c r="S32" s="18">
        <v>0</v>
      </c>
      <c r="T32" s="25">
        <v>0.1</v>
      </c>
      <c r="U32" s="18">
        <v>0</v>
      </c>
      <c r="V32" s="30">
        <f t="shared" si="2"/>
        <v>0</v>
      </c>
      <c r="W32" s="20">
        <f t="shared" si="3"/>
        <v>0</v>
      </c>
      <c r="X32" s="123">
        <v>0</v>
      </c>
      <c r="Y32" s="123"/>
      <c r="Z32" s="123"/>
      <c r="AA32" s="122">
        <v>0</v>
      </c>
      <c r="AB32" s="122"/>
      <c r="AC32" s="122"/>
      <c r="AD32" s="122">
        <v>0</v>
      </c>
      <c r="AE32" s="122"/>
      <c r="AF32" s="122"/>
      <c r="AG32" s="123">
        <v>0</v>
      </c>
      <c r="AH32" s="123"/>
      <c r="AI32" s="123"/>
      <c r="AJ32" s="101">
        <f t="shared" si="4"/>
        <v>0</v>
      </c>
      <c r="AK32" s="102">
        <f>IFERROR(X32/N32,0)</f>
        <v>0</v>
      </c>
      <c r="AL32" s="128"/>
      <c r="AM32" s="128"/>
      <c r="AN32" s="128"/>
      <c r="AO32" s="92">
        <v>0</v>
      </c>
      <c r="AP32" s="92">
        <v>0</v>
      </c>
      <c r="AQ32" s="91">
        <v>0</v>
      </c>
      <c r="AR32" s="91">
        <v>0</v>
      </c>
      <c r="AS32" s="174">
        <v>0</v>
      </c>
      <c r="AT32" s="174">
        <v>0</v>
      </c>
    </row>
    <row r="33" spans="1:46" s="23" customFormat="1" ht="12.75" customHeight="1" x14ac:dyDescent="0.2">
      <c r="A33" s="15"/>
      <c r="B33" s="126"/>
      <c r="C33" s="134"/>
      <c r="D33" s="134"/>
      <c r="E33" s="134"/>
      <c r="F33" s="134"/>
      <c r="G33" s="98" t="s">
        <v>2352</v>
      </c>
      <c r="H33" s="134"/>
      <c r="I33" s="98" t="s">
        <v>2236</v>
      </c>
      <c r="J33" s="93" t="s">
        <v>2261</v>
      </c>
      <c r="K33" s="75">
        <f>+L33+N33+P33+R33+T33</f>
        <v>1</v>
      </c>
      <c r="L33" s="18">
        <v>0.05</v>
      </c>
      <c r="M33" s="16">
        <v>0.05</v>
      </c>
      <c r="N33" s="18">
        <v>0.3</v>
      </c>
      <c r="O33" s="18">
        <v>0.3</v>
      </c>
      <c r="P33" s="18">
        <v>0.3</v>
      </c>
      <c r="Q33" s="25">
        <v>0.22</v>
      </c>
      <c r="R33" s="25">
        <v>0.3</v>
      </c>
      <c r="S33" s="18">
        <v>0</v>
      </c>
      <c r="T33" s="25">
        <v>0.05</v>
      </c>
      <c r="U33" s="18">
        <v>0</v>
      </c>
      <c r="V33" s="30">
        <f t="shared" si="2"/>
        <v>0.56999999999999995</v>
      </c>
      <c r="W33" s="20">
        <f t="shared" si="3"/>
        <v>0.56999999999999995</v>
      </c>
      <c r="X33" s="130">
        <v>0.05</v>
      </c>
      <c r="Y33" s="130"/>
      <c r="Z33" s="130"/>
      <c r="AA33" s="122">
        <v>0.1</v>
      </c>
      <c r="AB33" s="122"/>
      <c r="AC33" s="122"/>
      <c r="AD33" s="122">
        <v>0.22</v>
      </c>
      <c r="AE33" s="122"/>
      <c r="AF33" s="122"/>
      <c r="AG33" s="123">
        <v>0</v>
      </c>
      <c r="AH33" s="123"/>
      <c r="AI33" s="123"/>
      <c r="AJ33" s="101">
        <f t="shared" si="4"/>
        <v>0.22</v>
      </c>
      <c r="AK33" s="102">
        <f t="shared" si="5"/>
        <v>0.73333333333333339</v>
      </c>
      <c r="AL33" s="128"/>
      <c r="AM33" s="128"/>
      <c r="AN33" s="128"/>
      <c r="AO33" s="92">
        <v>10346</v>
      </c>
      <c r="AP33" s="92">
        <v>10345</v>
      </c>
      <c r="AQ33" s="90">
        <v>26639000000</v>
      </c>
      <c r="AR33" s="90">
        <v>26629556379</v>
      </c>
      <c r="AS33" s="174">
        <v>36501290541</v>
      </c>
      <c r="AT33" s="174">
        <v>35300684254</v>
      </c>
    </row>
    <row r="34" spans="1:46" s="23" customFormat="1" ht="12.75" customHeight="1" x14ac:dyDescent="0.2">
      <c r="A34" s="15"/>
      <c r="B34" s="126"/>
      <c r="C34" s="98" t="s">
        <v>2395</v>
      </c>
      <c r="D34" s="98" t="s">
        <v>2427</v>
      </c>
      <c r="E34" s="98" t="s">
        <v>2393</v>
      </c>
      <c r="F34" s="98" t="s">
        <v>2365</v>
      </c>
      <c r="G34" s="98" t="s">
        <v>2364</v>
      </c>
      <c r="H34" s="98" t="s">
        <v>2366</v>
      </c>
      <c r="I34" s="98" t="s">
        <v>2235</v>
      </c>
      <c r="J34" s="93" t="s">
        <v>2258</v>
      </c>
      <c r="K34" s="76">
        <v>1</v>
      </c>
      <c r="L34" s="25">
        <v>0</v>
      </c>
      <c r="M34" s="16">
        <v>0</v>
      </c>
      <c r="N34" s="25">
        <v>1</v>
      </c>
      <c r="O34" s="25">
        <v>1</v>
      </c>
      <c r="P34" s="25">
        <v>1</v>
      </c>
      <c r="Q34" s="25">
        <v>0.76</v>
      </c>
      <c r="R34" s="25">
        <v>1</v>
      </c>
      <c r="S34" s="18">
        <v>0</v>
      </c>
      <c r="T34" s="25">
        <v>1</v>
      </c>
      <c r="U34" s="25">
        <v>0</v>
      </c>
      <c r="V34" s="31">
        <f>+AVERAGE(O34,Q34,S34,U34)</f>
        <v>0.44</v>
      </c>
      <c r="W34" s="20">
        <f>+AVERAGE(O34,Q34,0,0)</f>
        <v>0.44</v>
      </c>
      <c r="X34" s="130">
        <v>0.49</v>
      </c>
      <c r="Y34" s="130"/>
      <c r="Z34" s="130"/>
      <c r="AA34" s="122">
        <f>0.76-X34</f>
        <v>0.27</v>
      </c>
      <c r="AB34" s="122"/>
      <c r="AC34" s="122"/>
      <c r="AD34" s="122">
        <v>0.89</v>
      </c>
      <c r="AE34" s="122"/>
      <c r="AF34" s="122"/>
      <c r="AG34" s="123">
        <v>0</v>
      </c>
      <c r="AH34" s="123"/>
      <c r="AI34" s="123"/>
      <c r="AJ34" s="101">
        <f>MAX(X34,AA34,AD34)</f>
        <v>0.89</v>
      </c>
      <c r="AK34" s="22">
        <f>+AJ34/P34</f>
        <v>0.89</v>
      </c>
      <c r="AL34" s="93" t="s">
        <v>2553</v>
      </c>
      <c r="AM34" s="93" t="s">
        <v>2554</v>
      </c>
      <c r="AN34" s="93" t="s">
        <v>2555</v>
      </c>
      <c r="AO34" s="92">
        <v>0</v>
      </c>
      <c r="AP34" s="92">
        <v>0</v>
      </c>
      <c r="AQ34" s="91">
        <v>317390184</v>
      </c>
      <c r="AR34" s="91">
        <v>317390184</v>
      </c>
      <c r="AS34" s="183">
        <v>218595036</v>
      </c>
      <c r="AT34" s="183">
        <v>218595036</v>
      </c>
    </row>
    <row r="35" spans="1:46" s="23" customFormat="1" ht="12.75" customHeight="1" x14ac:dyDescent="0.2">
      <c r="A35" s="15"/>
      <c r="B35" s="126"/>
      <c r="C35" s="98" t="s">
        <v>2271</v>
      </c>
      <c r="D35" s="98" t="s">
        <v>2427</v>
      </c>
      <c r="E35" s="98" t="s">
        <v>2393</v>
      </c>
      <c r="F35" s="98" t="s">
        <v>2368</v>
      </c>
      <c r="G35" s="98" t="s">
        <v>2367</v>
      </c>
      <c r="H35" s="98" t="s">
        <v>2369</v>
      </c>
      <c r="I35" s="98" t="s">
        <v>2236</v>
      </c>
      <c r="J35" s="93" t="s">
        <v>2260</v>
      </c>
      <c r="K35" s="77">
        <v>21.21</v>
      </c>
      <c r="L35" s="16">
        <v>23.56</v>
      </c>
      <c r="M35" s="16">
        <v>23.56</v>
      </c>
      <c r="N35" s="18">
        <v>23.55</v>
      </c>
      <c r="O35" s="18">
        <v>23.55</v>
      </c>
      <c r="P35" s="18">
        <v>23.54</v>
      </c>
      <c r="Q35" s="18">
        <v>23.13</v>
      </c>
      <c r="R35" s="18">
        <v>21.22</v>
      </c>
      <c r="S35" s="18">
        <v>0</v>
      </c>
      <c r="T35" s="18">
        <v>21.21</v>
      </c>
      <c r="U35" s="18">
        <v>0</v>
      </c>
      <c r="V35" s="37">
        <f>+Q35</f>
        <v>23.13</v>
      </c>
      <c r="W35" s="20">
        <f>+K35/Q35</f>
        <v>0.91699092088197154</v>
      </c>
      <c r="X35" s="130">
        <v>23.55</v>
      </c>
      <c r="Y35" s="130"/>
      <c r="Z35" s="130"/>
      <c r="AA35" s="165">
        <v>23.55</v>
      </c>
      <c r="AB35" s="165"/>
      <c r="AC35" s="165"/>
      <c r="AD35" s="166">
        <v>23.13</v>
      </c>
      <c r="AE35" s="166"/>
      <c r="AF35" s="166"/>
      <c r="AG35" s="166">
        <v>0</v>
      </c>
      <c r="AH35" s="166"/>
      <c r="AI35" s="166"/>
      <c r="AJ35" s="101">
        <f>+AD35</f>
        <v>23.13</v>
      </c>
      <c r="AK35" s="22">
        <f>+P35/AJ35</f>
        <v>1.0177258971033289</v>
      </c>
      <c r="AL35" s="93" t="s">
        <v>2558</v>
      </c>
      <c r="AM35" s="93" t="s">
        <v>2492</v>
      </c>
      <c r="AN35" s="93" t="s">
        <v>2559</v>
      </c>
      <c r="AO35" s="40">
        <v>1437</v>
      </c>
      <c r="AP35" s="40">
        <v>1321</v>
      </c>
      <c r="AQ35" s="90">
        <v>2758275200</v>
      </c>
      <c r="AR35" s="90">
        <v>2700192005</v>
      </c>
      <c r="AS35" s="174">
        <v>3371455387</v>
      </c>
      <c r="AT35" s="174">
        <v>3310464170</v>
      </c>
    </row>
    <row r="36" spans="1:46" s="23" customFormat="1" ht="12.75" customHeight="1" x14ac:dyDescent="0.2">
      <c r="A36" s="15"/>
      <c r="B36" s="126"/>
      <c r="C36" s="134" t="s">
        <v>2271</v>
      </c>
      <c r="D36" s="134" t="s">
        <v>2427</v>
      </c>
      <c r="E36" s="134" t="s">
        <v>2393</v>
      </c>
      <c r="F36" s="98" t="s">
        <v>2443</v>
      </c>
      <c r="G36" s="98" t="s">
        <v>2321</v>
      </c>
      <c r="H36" s="98" t="s">
        <v>2444</v>
      </c>
      <c r="I36" s="98" t="s">
        <v>2235</v>
      </c>
      <c r="J36" s="93" t="s">
        <v>2261</v>
      </c>
      <c r="K36" s="77">
        <v>100</v>
      </c>
      <c r="L36" s="16">
        <v>5</v>
      </c>
      <c r="M36" s="16">
        <v>5</v>
      </c>
      <c r="N36" s="18">
        <v>30</v>
      </c>
      <c r="O36" s="18">
        <v>30</v>
      </c>
      <c r="P36" s="18">
        <v>30</v>
      </c>
      <c r="Q36" s="25">
        <v>26.3</v>
      </c>
      <c r="R36" s="25">
        <v>30</v>
      </c>
      <c r="S36" s="18">
        <v>0</v>
      </c>
      <c r="T36" s="25">
        <v>5</v>
      </c>
      <c r="U36" s="18">
        <v>0</v>
      </c>
      <c r="V36" s="32">
        <f>M36+O36+Q36</f>
        <v>61.3</v>
      </c>
      <c r="W36" s="36">
        <f>+V36/K36</f>
        <v>0.61299999999999999</v>
      </c>
      <c r="X36" s="130">
        <v>15.75</v>
      </c>
      <c r="Y36" s="130"/>
      <c r="Z36" s="130"/>
      <c r="AA36" s="122">
        <v>21.05</v>
      </c>
      <c r="AB36" s="122"/>
      <c r="AC36" s="122"/>
      <c r="AD36" s="123">
        <v>26.3</v>
      </c>
      <c r="AE36" s="123"/>
      <c r="AF36" s="123"/>
      <c r="AG36" s="123">
        <v>0</v>
      </c>
      <c r="AH36" s="123"/>
      <c r="AI36" s="123"/>
      <c r="AJ36" s="101">
        <f>MAX(X36:AI36)</f>
        <v>26.3</v>
      </c>
      <c r="AK36" s="22">
        <f>AJ36/N36</f>
        <v>0.87666666666666671</v>
      </c>
      <c r="AL36" s="128" t="s">
        <v>2533</v>
      </c>
      <c r="AM36" s="128" t="s">
        <v>2534</v>
      </c>
      <c r="AN36" s="128" t="s">
        <v>2535</v>
      </c>
      <c r="AO36" s="92">
        <v>282</v>
      </c>
      <c r="AP36" s="92">
        <v>282</v>
      </c>
      <c r="AQ36" s="90">
        <v>1201581805</v>
      </c>
      <c r="AR36" s="90">
        <v>1201581805</v>
      </c>
      <c r="AS36" s="174">
        <v>1261643280</v>
      </c>
      <c r="AT36" s="174">
        <v>1261642420</v>
      </c>
    </row>
    <row r="37" spans="1:46" s="23" customFormat="1" ht="12.75" customHeight="1" x14ac:dyDescent="0.2">
      <c r="A37" s="15"/>
      <c r="B37" s="126"/>
      <c r="C37" s="134"/>
      <c r="D37" s="134"/>
      <c r="E37" s="134"/>
      <c r="F37" s="98" t="s">
        <v>2320</v>
      </c>
      <c r="G37" s="98" t="s">
        <v>2321</v>
      </c>
      <c r="H37" s="98" t="s">
        <v>2355</v>
      </c>
      <c r="I37" s="98" t="s">
        <v>2236</v>
      </c>
      <c r="J37" s="93" t="s">
        <v>2259</v>
      </c>
      <c r="K37" s="77">
        <v>82.5</v>
      </c>
      <c r="L37" s="18">
        <v>79</v>
      </c>
      <c r="M37" s="16">
        <v>78.959999999999994</v>
      </c>
      <c r="N37" s="18">
        <v>79.3</v>
      </c>
      <c r="O37" s="18">
        <v>88.05</v>
      </c>
      <c r="P37" s="18">
        <v>79.5</v>
      </c>
      <c r="Q37" s="25">
        <v>88.59</v>
      </c>
      <c r="R37" s="25">
        <v>80.5</v>
      </c>
      <c r="S37" s="18">
        <v>0</v>
      </c>
      <c r="T37" s="25">
        <v>82.5</v>
      </c>
      <c r="U37" s="18">
        <v>0</v>
      </c>
      <c r="V37" s="32">
        <f>Q37</f>
        <v>88.59</v>
      </c>
      <c r="W37" s="20">
        <f>(Q37)/T37</f>
        <v>1.0738181818181818</v>
      </c>
      <c r="X37" s="130">
        <v>88.83</v>
      </c>
      <c r="Y37" s="130"/>
      <c r="Z37" s="130"/>
      <c r="AA37" s="122">
        <v>88.72</v>
      </c>
      <c r="AB37" s="122"/>
      <c r="AC37" s="122"/>
      <c r="AD37" s="123">
        <v>88.59</v>
      </c>
      <c r="AE37" s="123"/>
      <c r="AF37" s="123"/>
      <c r="AG37" s="123">
        <v>0</v>
      </c>
      <c r="AH37" s="123"/>
      <c r="AI37" s="123"/>
      <c r="AJ37" s="101">
        <f>AA37</f>
        <v>88.72</v>
      </c>
      <c r="AK37" s="22">
        <f>AJ37/P37</f>
        <v>1.1159748427672955</v>
      </c>
      <c r="AL37" s="128"/>
      <c r="AM37" s="128"/>
      <c r="AN37" s="128"/>
      <c r="AO37" s="92">
        <v>8998</v>
      </c>
      <c r="AP37" s="92">
        <v>8336</v>
      </c>
      <c r="AQ37" s="90">
        <v>16864096176</v>
      </c>
      <c r="AR37" s="90">
        <v>16757675899</v>
      </c>
      <c r="AS37" s="174">
        <v>31791534188</v>
      </c>
      <c r="AT37" s="174">
        <v>29864487165</v>
      </c>
    </row>
    <row r="38" spans="1:46" s="23" customFormat="1" ht="12.75" customHeight="1" x14ac:dyDescent="0.2">
      <c r="A38" s="15"/>
      <c r="B38" s="126"/>
      <c r="C38" s="98" t="s">
        <v>2271</v>
      </c>
      <c r="D38" s="98" t="s">
        <v>2427</v>
      </c>
      <c r="E38" s="98" t="s">
        <v>2393</v>
      </c>
      <c r="F38" s="98" t="s">
        <v>2387</v>
      </c>
      <c r="G38" s="98" t="s">
        <v>2386</v>
      </c>
      <c r="H38" s="98" t="s">
        <v>2388</v>
      </c>
      <c r="I38" s="98" t="s">
        <v>2236</v>
      </c>
      <c r="J38" s="93" t="s">
        <v>2260</v>
      </c>
      <c r="K38" s="77">
        <v>2</v>
      </c>
      <c r="L38" s="18">
        <v>15.35</v>
      </c>
      <c r="M38" s="16">
        <v>15.36</v>
      </c>
      <c r="N38" s="18">
        <v>15.34</v>
      </c>
      <c r="O38" s="16">
        <v>9.9700000000000006</v>
      </c>
      <c r="P38" s="18">
        <v>15.33</v>
      </c>
      <c r="Q38" s="18">
        <v>29.66</v>
      </c>
      <c r="R38" s="18">
        <v>13.37</v>
      </c>
      <c r="S38" s="18">
        <v>0</v>
      </c>
      <c r="T38" s="18">
        <v>13.36</v>
      </c>
      <c r="U38" s="18">
        <v>0</v>
      </c>
      <c r="V38" s="37">
        <f>+Q38</f>
        <v>29.66</v>
      </c>
      <c r="W38" s="20">
        <f>13.36/Q38</f>
        <v>0.45043830074173968</v>
      </c>
      <c r="X38" s="131">
        <v>9.9700000000000006</v>
      </c>
      <c r="Y38" s="131"/>
      <c r="Z38" s="131"/>
      <c r="AA38" s="165">
        <v>15.36</v>
      </c>
      <c r="AB38" s="165"/>
      <c r="AC38" s="165"/>
      <c r="AD38" s="166">
        <v>29.66</v>
      </c>
      <c r="AE38" s="166"/>
      <c r="AF38" s="166"/>
      <c r="AG38" s="166">
        <v>0</v>
      </c>
      <c r="AH38" s="166"/>
      <c r="AI38" s="166"/>
      <c r="AJ38" s="101">
        <f>+AD38</f>
        <v>29.66</v>
      </c>
      <c r="AK38" s="22">
        <f>+P38/AJ38</f>
        <v>0.51685772083614301</v>
      </c>
      <c r="AL38" s="93" t="s">
        <v>2578</v>
      </c>
      <c r="AM38" s="93" t="s">
        <v>2579</v>
      </c>
      <c r="AN38" s="93" t="s">
        <v>2580</v>
      </c>
      <c r="AO38" s="40">
        <v>9219</v>
      </c>
      <c r="AP38" s="40">
        <v>9219</v>
      </c>
      <c r="AQ38" s="90">
        <v>14049436000</v>
      </c>
      <c r="AR38" s="90">
        <v>14046951937</v>
      </c>
      <c r="AS38" s="174">
        <v>16412145335</v>
      </c>
      <c r="AT38" s="174">
        <v>15153530023</v>
      </c>
    </row>
    <row r="39" spans="1:46" s="23" customFormat="1" ht="12.75" customHeight="1" x14ac:dyDescent="0.2">
      <c r="A39" s="15"/>
      <c r="B39" s="126"/>
      <c r="C39" s="134" t="s">
        <v>2271</v>
      </c>
      <c r="D39" s="134" t="s">
        <v>2427</v>
      </c>
      <c r="E39" s="134" t="s">
        <v>2393</v>
      </c>
      <c r="F39" s="94" t="s">
        <v>2441</v>
      </c>
      <c r="G39" s="98" t="s">
        <v>2317</v>
      </c>
      <c r="H39" s="98" t="s">
        <v>2442</v>
      </c>
      <c r="I39" s="98" t="s">
        <v>2235</v>
      </c>
      <c r="J39" s="93" t="s">
        <v>2261</v>
      </c>
      <c r="K39" s="77">
        <v>100</v>
      </c>
      <c r="L39" s="18">
        <v>5</v>
      </c>
      <c r="M39" s="16">
        <v>5</v>
      </c>
      <c r="N39" s="18">
        <v>30</v>
      </c>
      <c r="O39" s="18">
        <v>30</v>
      </c>
      <c r="P39" s="18">
        <v>30</v>
      </c>
      <c r="Q39" s="18">
        <v>18.329999999999998</v>
      </c>
      <c r="R39" s="18">
        <v>30</v>
      </c>
      <c r="S39" s="18">
        <v>0</v>
      </c>
      <c r="T39" s="18">
        <v>5</v>
      </c>
      <c r="U39" s="18">
        <v>0</v>
      </c>
      <c r="V39" s="37">
        <f>+M39+O39+Q39</f>
        <v>53.33</v>
      </c>
      <c r="W39" s="20">
        <f>+V39/K39</f>
        <v>0.5333</v>
      </c>
      <c r="X39" s="129">
        <v>7.75</v>
      </c>
      <c r="Y39" s="129"/>
      <c r="Z39" s="129"/>
      <c r="AA39" s="122">
        <v>9.25</v>
      </c>
      <c r="AB39" s="122"/>
      <c r="AC39" s="122"/>
      <c r="AD39" s="123">
        <v>15</v>
      </c>
      <c r="AE39" s="123"/>
      <c r="AF39" s="123"/>
      <c r="AG39" s="123">
        <v>0</v>
      </c>
      <c r="AH39" s="123"/>
      <c r="AI39" s="123"/>
      <c r="AJ39" s="38">
        <f>MAX(X39:AI39)</f>
        <v>15</v>
      </c>
      <c r="AK39" s="22">
        <f>+AJ39/N39</f>
        <v>0.5</v>
      </c>
      <c r="AL39" s="133" t="s">
        <v>2530</v>
      </c>
      <c r="AM39" s="128" t="s">
        <v>2531</v>
      </c>
      <c r="AN39" s="128" t="s">
        <v>2532</v>
      </c>
      <c r="AO39" s="92">
        <v>68</v>
      </c>
      <c r="AP39" s="92">
        <v>68</v>
      </c>
      <c r="AQ39" s="90">
        <v>3639934366</v>
      </c>
      <c r="AR39" s="90">
        <v>3630067523</v>
      </c>
      <c r="AS39" s="174">
        <v>2311970297</v>
      </c>
      <c r="AT39" s="174">
        <v>1291826316</v>
      </c>
    </row>
    <row r="40" spans="1:46" s="23" customFormat="1" ht="12.75" customHeight="1" x14ac:dyDescent="0.2">
      <c r="A40" s="15"/>
      <c r="B40" s="126"/>
      <c r="C40" s="134"/>
      <c r="D40" s="134"/>
      <c r="E40" s="134"/>
      <c r="F40" s="98" t="s">
        <v>2319</v>
      </c>
      <c r="G40" s="98" t="s">
        <v>2317</v>
      </c>
      <c r="H40" s="98" t="s">
        <v>2318</v>
      </c>
      <c r="I40" s="98" t="s">
        <v>2236</v>
      </c>
      <c r="J40" s="93" t="s">
        <v>2259</v>
      </c>
      <c r="K40" s="77">
        <v>166954</v>
      </c>
      <c r="L40" s="18">
        <v>66781</v>
      </c>
      <c r="M40" s="39">
        <v>45078</v>
      </c>
      <c r="N40" s="18">
        <v>127700</v>
      </c>
      <c r="O40" s="18">
        <v>130485</v>
      </c>
      <c r="P40" s="18">
        <v>166954</v>
      </c>
      <c r="Q40" s="18">
        <v>166954</v>
      </c>
      <c r="R40" s="18">
        <v>166954</v>
      </c>
      <c r="S40" s="18">
        <v>0</v>
      </c>
      <c r="T40" s="18">
        <v>166954</v>
      </c>
      <c r="U40" s="18">
        <v>0</v>
      </c>
      <c r="V40" s="18">
        <v>189177</v>
      </c>
      <c r="W40" s="20">
        <f>+V40/K40</f>
        <v>1.1331085209099512</v>
      </c>
      <c r="X40" s="129">
        <v>148614</v>
      </c>
      <c r="Y40" s="129"/>
      <c r="Z40" s="129"/>
      <c r="AA40" s="123">
        <v>163435</v>
      </c>
      <c r="AB40" s="123"/>
      <c r="AC40" s="123"/>
      <c r="AD40" s="123">
        <v>166954</v>
      </c>
      <c r="AE40" s="123"/>
      <c r="AF40" s="123"/>
      <c r="AG40" s="123">
        <v>0</v>
      </c>
      <c r="AH40" s="123"/>
      <c r="AI40" s="123"/>
      <c r="AJ40" s="40">
        <f>MAX(X40:AI40)</f>
        <v>166954</v>
      </c>
      <c r="AK40" s="22">
        <f>+AJ40/P40</f>
        <v>1</v>
      </c>
      <c r="AL40" s="133"/>
      <c r="AM40" s="128"/>
      <c r="AN40" s="128"/>
      <c r="AO40" s="92">
        <v>1030671</v>
      </c>
      <c r="AP40" s="92">
        <v>1026879</v>
      </c>
      <c r="AQ40" s="90">
        <v>2922611642847</v>
      </c>
      <c r="AR40" s="90">
        <v>2728214536872</v>
      </c>
      <c r="AS40" s="174">
        <v>2309097432459</v>
      </c>
      <c r="AT40" s="174">
        <v>2287652989503</v>
      </c>
    </row>
    <row r="41" spans="1:46" s="23" customFormat="1" ht="12.75" customHeight="1" x14ac:dyDescent="0.2">
      <c r="A41" s="15"/>
      <c r="B41" s="126"/>
      <c r="C41" s="134" t="s">
        <v>2272</v>
      </c>
      <c r="D41" s="134" t="s">
        <v>2427</v>
      </c>
      <c r="E41" s="134" t="s">
        <v>2393</v>
      </c>
      <c r="F41" s="98" t="s">
        <v>2445</v>
      </c>
      <c r="G41" s="98" t="s">
        <v>2347</v>
      </c>
      <c r="H41" s="98" t="s">
        <v>2446</v>
      </c>
      <c r="I41" s="98" t="s">
        <v>2269</v>
      </c>
      <c r="J41" s="93" t="s">
        <v>2259</v>
      </c>
      <c r="K41" s="75">
        <f>+T41</f>
        <v>60</v>
      </c>
      <c r="L41" s="18">
        <v>0</v>
      </c>
      <c r="M41" s="16">
        <v>0</v>
      </c>
      <c r="N41" s="18">
        <v>0</v>
      </c>
      <c r="O41" s="18">
        <v>0</v>
      </c>
      <c r="P41" s="18">
        <v>30</v>
      </c>
      <c r="Q41" s="18">
        <v>0</v>
      </c>
      <c r="R41" s="18">
        <v>50</v>
      </c>
      <c r="S41" s="18">
        <v>0</v>
      </c>
      <c r="T41" s="18">
        <v>60</v>
      </c>
      <c r="U41" s="18">
        <v>0</v>
      </c>
      <c r="V41" s="37">
        <v>0</v>
      </c>
      <c r="W41" s="35">
        <v>0</v>
      </c>
      <c r="X41" s="123">
        <v>0</v>
      </c>
      <c r="Y41" s="123"/>
      <c r="Z41" s="123"/>
      <c r="AA41" s="123">
        <v>0</v>
      </c>
      <c r="AB41" s="123"/>
      <c r="AC41" s="123"/>
      <c r="AD41" s="123">
        <v>0</v>
      </c>
      <c r="AE41" s="123"/>
      <c r="AF41" s="123"/>
      <c r="AG41" s="123">
        <v>0</v>
      </c>
      <c r="AH41" s="123"/>
      <c r="AI41" s="123"/>
      <c r="AJ41" s="24">
        <v>0</v>
      </c>
      <c r="AK41" s="24">
        <v>0</v>
      </c>
      <c r="AL41" s="128" t="s">
        <v>2536</v>
      </c>
      <c r="AM41" s="128" t="s">
        <v>2500</v>
      </c>
      <c r="AN41" s="128" t="s">
        <v>2537</v>
      </c>
      <c r="AO41" s="124">
        <v>9295</v>
      </c>
      <c r="AP41" s="124">
        <v>8898</v>
      </c>
      <c r="AQ41" s="160">
        <v>3066203769</v>
      </c>
      <c r="AR41" s="160">
        <v>3066203769</v>
      </c>
      <c r="AS41" s="178">
        <v>213663690153</v>
      </c>
      <c r="AT41" s="178">
        <v>336005164</v>
      </c>
    </row>
    <row r="42" spans="1:46" s="23" customFormat="1" ht="12.75" customHeight="1" x14ac:dyDescent="0.2">
      <c r="A42" s="15"/>
      <c r="B42" s="126"/>
      <c r="C42" s="134"/>
      <c r="D42" s="134"/>
      <c r="E42" s="134"/>
      <c r="F42" s="98" t="s">
        <v>2346</v>
      </c>
      <c r="G42" s="98" t="s">
        <v>2347</v>
      </c>
      <c r="H42" s="98" t="s">
        <v>2348</v>
      </c>
      <c r="I42" s="98" t="s">
        <v>2269</v>
      </c>
      <c r="J42" s="93" t="s">
        <v>2261</v>
      </c>
      <c r="K42" s="75">
        <f>+L42+N42+P42+R42+T42</f>
        <v>2</v>
      </c>
      <c r="L42" s="18">
        <v>0</v>
      </c>
      <c r="M42" s="16">
        <f t="shared" ref="M42" si="6">AD42+AG42</f>
        <v>0</v>
      </c>
      <c r="N42" s="18">
        <v>2</v>
      </c>
      <c r="O42" s="18">
        <v>0</v>
      </c>
      <c r="P42" s="18">
        <v>0</v>
      </c>
      <c r="Q42" s="18">
        <v>0</v>
      </c>
      <c r="R42" s="18">
        <v>0</v>
      </c>
      <c r="S42" s="18">
        <v>0</v>
      </c>
      <c r="T42" s="18">
        <v>0</v>
      </c>
      <c r="U42" s="18">
        <v>0</v>
      </c>
      <c r="V42" s="26">
        <v>0</v>
      </c>
      <c r="W42" s="20">
        <f>IFERROR(O42/V42,0)</f>
        <v>0</v>
      </c>
      <c r="X42" s="123">
        <v>0</v>
      </c>
      <c r="Y42" s="123"/>
      <c r="Z42" s="123"/>
      <c r="AA42" s="123">
        <v>0</v>
      </c>
      <c r="AB42" s="123"/>
      <c r="AC42" s="123"/>
      <c r="AD42" s="123">
        <v>0</v>
      </c>
      <c r="AE42" s="123"/>
      <c r="AF42" s="123"/>
      <c r="AG42" s="123">
        <v>0</v>
      </c>
      <c r="AH42" s="123"/>
      <c r="AI42" s="123"/>
      <c r="AJ42" s="24">
        <v>0</v>
      </c>
      <c r="AK42" s="24">
        <v>0</v>
      </c>
      <c r="AL42" s="128"/>
      <c r="AM42" s="128"/>
      <c r="AN42" s="128"/>
      <c r="AO42" s="124"/>
      <c r="AP42" s="124"/>
      <c r="AQ42" s="160"/>
      <c r="AR42" s="160"/>
      <c r="AS42" s="178"/>
      <c r="AT42" s="178"/>
    </row>
    <row r="43" spans="1:46" s="23" customFormat="1" ht="12.75" customHeight="1" x14ac:dyDescent="0.2">
      <c r="A43" s="15"/>
      <c r="B43" s="126"/>
      <c r="C43" s="98" t="s">
        <v>2411</v>
      </c>
      <c r="D43" s="98" t="s">
        <v>2427</v>
      </c>
      <c r="E43" s="98" t="s">
        <v>2412</v>
      </c>
      <c r="F43" s="98" t="s">
        <v>2415</v>
      </c>
      <c r="G43" s="98" t="s">
        <v>2413</v>
      </c>
      <c r="H43" s="98" t="s">
        <v>2414</v>
      </c>
      <c r="I43" s="98" t="s">
        <v>2235</v>
      </c>
      <c r="J43" s="93" t="s">
        <v>2261</v>
      </c>
      <c r="K43" s="75">
        <f>+L43+N43+P43+R43+T43</f>
        <v>364000</v>
      </c>
      <c r="L43" s="18">
        <v>2900</v>
      </c>
      <c r="M43" s="16">
        <v>2935</v>
      </c>
      <c r="N43" s="18">
        <v>67132</v>
      </c>
      <c r="O43" s="18">
        <v>67132</v>
      </c>
      <c r="P43" s="18">
        <v>110863</v>
      </c>
      <c r="Q43" s="18">
        <v>105695</v>
      </c>
      <c r="R43" s="18">
        <v>115550</v>
      </c>
      <c r="S43" s="18">
        <v>0</v>
      </c>
      <c r="T43" s="18">
        <v>67555</v>
      </c>
      <c r="U43" s="18">
        <v>0</v>
      </c>
      <c r="V43" s="37">
        <f>+M43+O43+Q43</f>
        <v>175762</v>
      </c>
      <c r="W43" s="20">
        <f t="shared" ref="W43:W61" si="7">+V43/K43</f>
        <v>0.48286263736263735</v>
      </c>
      <c r="X43" s="129">
        <v>44807</v>
      </c>
      <c r="Y43" s="129"/>
      <c r="Z43" s="129"/>
      <c r="AA43" s="123">
        <f>79078-X43</f>
        <v>34271</v>
      </c>
      <c r="AB43" s="123"/>
      <c r="AC43" s="123"/>
      <c r="AD43" s="123">
        <v>26617</v>
      </c>
      <c r="AE43" s="123"/>
      <c r="AF43" s="123"/>
      <c r="AG43" s="123">
        <v>0</v>
      </c>
      <c r="AH43" s="123"/>
      <c r="AI43" s="123"/>
      <c r="AJ43" s="101">
        <f>+X43+AA43+AD43+AG43</f>
        <v>105695</v>
      </c>
      <c r="AK43" s="22">
        <f>+AJ43/P43</f>
        <v>0.95338390626268454</v>
      </c>
      <c r="AL43" s="94" t="s">
        <v>2541</v>
      </c>
      <c r="AM43" s="94" t="s">
        <v>2542</v>
      </c>
      <c r="AN43" s="94" t="s">
        <v>2543</v>
      </c>
      <c r="AO43" s="92">
        <v>631</v>
      </c>
      <c r="AP43" s="92">
        <v>298</v>
      </c>
      <c r="AQ43" s="90">
        <v>13089983885</v>
      </c>
      <c r="AR43" s="90">
        <v>13084853885</v>
      </c>
      <c r="AS43" s="174">
        <v>6212878000</v>
      </c>
      <c r="AT43" s="174">
        <v>5546917854</v>
      </c>
    </row>
    <row r="44" spans="1:46" s="23" customFormat="1" ht="12.75" customHeight="1" x14ac:dyDescent="0.2">
      <c r="A44" s="15"/>
      <c r="B44" s="126"/>
      <c r="C44" s="134" t="s">
        <v>2395</v>
      </c>
      <c r="D44" s="134" t="s">
        <v>2427</v>
      </c>
      <c r="E44" s="134" t="s">
        <v>2393</v>
      </c>
      <c r="F44" s="98" t="s">
        <v>2338</v>
      </c>
      <c r="G44" s="98" t="s">
        <v>2339</v>
      </c>
      <c r="H44" s="98" t="s">
        <v>2340</v>
      </c>
      <c r="I44" s="98" t="s">
        <v>2269</v>
      </c>
      <c r="J44" s="93" t="s">
        <v>2261</v>
      </c>
      <c r="K44" s="75">
        <f>+L44+N44+P44+R44+T44</f>
        <v>20.010000000000002</v>
      </c>
      <c r="L44" s="18">
        <v>0</v>
      </c>
      <c r="M44" s="16">
        <f t="shared" ref="M44:M45" si="8">AD44+AG44</f>
        <v>0</v>
      </c>
      <c r="N44" s="18">
        <v>0.01</v>
      </c>
      <c r="O44" s="18">
        <v>0</v>
      </c>
      <c r="P44" s="18">
        <v>0</v>
      </c>
      <c r="Q44" s="18">
        <v>0</v>
      </c>
      <c r="R44" s="18">
        <v>0</v>
      </c>
      <c r="S44" s="18">
        <v>0</v>
      </c>
      <c r="T44" s="18">
        <v>20</v>
      </c>
      <c r="U44" s="18">
        <v>0</v>
      </c>
      <c r="V44" s="37">
        <f>+M44+O44+Q44</f>
        <v>0</v>
      </c>
      <c r="W44" s="20">
        <f t="shared" si="7"/>
        <v>0</v>
      </c>
      <c r="X44" s="129">
        <v>0</v>
      </c>
      <c r="Y44" s="129"/>
      <c r="Z44" s="129"/>
      <c r="AA44" s="166">
        <v>0</v>
      </c>
      <c r="AB44" s="166"/>
      <c r="AC44" s="166"/>
      <c r="AD44" s="166">
        <v>0</v>
      </c>
      <c r="AE44" s="166"/>
      <c r="AF44" s="166"/>
      <c r="AG44" s="166">
        <v>0</v>
      </c>
      <c r="AH44" s="166"/>
      <c r="AI44" s="166"/>
      <c r="AJ44" s="101">
        <f>+AD44</f>
        <v>0</v>
      </c>
      <c r="AK44" s="28">
        <v>0</v>
      </c>
      <c r="AL44" s="128" t="s">
        <v>2576</v>
      </c>
      <c r="AM44" s="128" t="s">
        <v>2463</v>
      </c>
      <c r="AN44" s="128" t="s">
        <v>2577</v>
      </c>
      <c r="AO44" s="40">
        <v>0</v>
      </c>
      <c r="AP44" s="40">
        <v>0</v>
      </c>
      <c r="AQ44" s="90">
        <v>0</v>
      </c>
      <c r="AR44" s="90">
        <v>0</v>
      </c>
      <c r="AS44" s="174">
        <v>0</v>
      </c>
      <c r="AT44" s="174">
        <v>0</v>
      </c>
    </row>
    <row r="45" spans="1:46" s="23" customFormat="1" ht="12.75" customHeight="1" x14ac:dyDescent="0.2">
      <c r="A45" s="15"/>
      <c r="B45" s="126"/>
      <c r="C45" s="134"/>
      <c r="D45" s="134"/>
      <c r="E45" s="134"/>
      <c r="F45" s="98" t="s">
        <v>2454</v>
      </c>
      <c r="G45" s="98" t="s">
        <v>2339</v>
      </c>
      <c r="H45" s="98" t="s">
        <v>2417</v>
      </c>
      <c r="I45" s="98" t="s">
        <v>2236</v>
      </c>
      <c r="J45" s="93" t="s">
        <v>2258</v>
      </c>
      <c r="K45" s="77">
        <v>100</v>
      </c>
      <c r="L45" s="18">
        <v>100</v>
      </c>
      <c r="M45" s="16">
        <v>100</v>
      </c>
      <c r="N45" s="18">
        <v>100</v>
      </c>
      <c r="O45" s="18">
        <v>100</v>
      </c>
      <c r="P45" s="18">
        <v>100</v>
      </c>
      <c r="Q45" s="18">
        <v>75</v>
      </c>
      <c r="R45" s="18">
        <v>100</v>
      </c>
      <c r="S45" s="18">
        <v>0</v>
      </c>
      <c r="T45" s="18">
        <v>100</v>
      </c>
      <c r="U45" s="18">
        <v>0</v>
      </c>
      <c r="V45" s="19">
        <f>+AVERAGE(M45,O45,Q45,S45,U45)</f>
        <v>55</v>
      </c>
      <c r="W45" s="35">
        <f t="shared" si="7"/>
        <v>0.55000000000000004</v>
      </c>
      <c r="X45" s="129">
        <v>25</v>
      </c>
      <c r="Y45" s="129"/>
      <c r="Z45" s="129"/>
      <c r="AA45" s="166">
        <v>25</v>
      </c>
      <c r="AB45" s="166"/>
      <c r="AC45" s="166"/>
      <c r="AD45" s="166">
        <v>25</v>
      </c>
      <c r="AE45" s="166"/>
      <c r="AF45" s="166"/>
      <c r="AG45" s="166">
        <v>0</v>
      </c>
      <c r="AH45" s="166"/>
      <c r="AI45" s="166"/>
      <c r="AJ45" s="101">
        <f t="shared" ref="AJ45" si="9">+X45+AA45+AD45+AG45</f>
        <v>75</v>
      </c>
      <c r="AK45" s="22">
        <f t="shared" ref="AK45" si="10">+AJ45/P45</f>
        <v>0.75</v>
      </c>
      <c r="AL45" s="128"/>
      <c r="AM45" s="128"/>
      <c r="AN45" s="128"/>
      <c r="AO45" s="40">
        <v>398</v>
      </c>
      <c r="AP45" s="40">
        <v>299</v>
      </c>
      <c r="AQ45" s="90">
        <v>25951236476</v>
      </c>
      <c r="AR45" s="90">
        <v>16017102861</v>
      </c>
      <c r="AS45" s="174">
        <v>388281613228</v>
      </c>
      <c r="AT45" s="174">
        <v>16702774735</v>
      </c>
    </row>
    <row r="46" spans="1:46" s="23" customFormat="1" ht="12.75" customHeight="1" x14ac:dyDescent="0.2">
      <c r="A46" s="15"/>
      <c r="B46" s="126"/>
      <c r="C46" s="134" t="s">
        <v>2272</v>
      </c>
      <c r="D46" s="134" t="s">
        <v>2427</v>
      </c>
      <c r="E46" s="134" t="s">
        <v>2393</v>
      </c>
      <c r="F46" s="98" t="s">
        <v>2334</v>
      </c>
      <c r="G46" s="98" t="s">
        <v>2335</v>
      </c>
      <c r="H46" s="98" t="s">
        <v>2336</v>
      </c>
      <c r="I46" s="98" t="s">
        <v>2416</v>
      </c>
      <c r="J46" s="93" t="s">
        <v>2261</v>
      </c>
      <c r="K46" s="75">
        <f>+M46+O46+P46+R46+T46</f>
        <v>30.92</v>
      </c>
      <c r="L46" s="18">
        <v>1</v>
      </c>
      <c r="M46" s="16">
        <f t="shared" ref="M46:M50" si="11">AD46+AG46</f>
        <v>1.3199999999999998</v>
      </c>
      <c r="N46" s="18">
        <v>0.01</v>
      </c>
      <c r="O46" s="18">
        <v>0</v>
      </c>
      <c r="P46" s="18">
        <v>4</v>
      </c>
      <c r="Q46" s="18">
        <v>2.46</v>
      </c>
      <c r="R46" s="18">
        <v>0</v>
      </c>
      <c r="S46" s="18">
        <v>0</v>
      </c>
      <c r="T46" s="18">
        <v>25.6</v>
      </c>
      <c r="U46" s="18">
        <v>0</v>
      </c>
      <c r="V46" s="37">
        <f>+M46+O46+Q46+S46+U46</f>
        <v>3.78</v>
      </c>
      <c r="W46" s="20">
        <f>+V46/K46</f>
        <v>0.12225097024579559</v>
      </c>
      <c r="X46" s="165">
        <v>0.85</v>
      </c>
      <c r="Y46" s="165"/>
      <c r="Z46" s="165"/>
      <c r="AA46" s="165">
        <f>1.14-X46</f>
        <v>0.28999999999999992</v>
      </c>
      <c r="AB46" s="165"/>
      <c r="AC46" s="165"/>
      <c r="AD46" s="165">
        <f>2.46-X46-AA46</f>
        <v>1.3199999999999998</v>
      </c>
      <c r="AE46" s="165"/>
      <c r="AF46" s="165"/>
      <c r="AG46" s="166">
        <v>0</v>
      </c>
      <c r="AH46" s="166"/>
      <c r="AI46" s="166"/>
      <c r="AJ46" s="170">
        <f t="shared" ref="AJ45:AJ61" si="12">+X46+AA46+AD46+AG46</f>
        <v>2.46</v>
      </c>
      <c r="AK46" s="41">
        <f t="shared" ref="AK45:AK56" si="13">+AJ46/P46</f>
        <v>0.61499999999999999</v>
      </c>
      <c r="AL46" s="128" t="s">
        <v>2574</v>
      </c>
      <c r="AM46" s="128" t="s">
        <v>2491</v>
      </c>
      <c r="AN46" s="128" t="s">
        <v>2575</v>
      </c>
      <c r="AO46" s="169">
        <v>47585</v>
      </c>
      <c r="AP46" s="169">
        <v>8400</v>
      </c>
      <c r="AQ46" s="160">
        <v>65113629417</v>
      </c>
      <c r="AR46" s="160">
        <v>53824445627</v>
      </c>
      <c r="AS46" s="178">
        <v>33830345432</v>
      </c>
      <c r="AT46" s="178">
        <v>14574574951</v>
      </c>
    </row>
    <row r="47" spans="1:46" s="23" customFormat="1" ht="12.75" customHeight="1" x14ac:dyDescent="0.2">
      <c r="A47" s="15"/>
      <c r="B47" s="126"/>
      <c r="C47" s="134"/>
      <c r="D47" s="134"/>
      <c r="E47" s="134"/>
      <c r="F47" s="98" t="s">
        <v>2471</v>
      </c>
      <c r="G47" s="98" t="s">
        <v>2335</v>
      </c>
      <c r="H47" s="98" t="s">
        <v>2472</v>
      </c>
      <c r="I47" s="98" t="s">
        <v>2416</v>
      </c>
      <c r="J47" s="93" t="s">
        <v>2261</v>
      </c>
      <c r="K47" s="75">
        <f>+L47+N47+P47+R47+T47</f>
        <v>80</v>
      </c>
      <c r="L47" s="18">
        <v>0</v>
      </c>
      <c r="M47" s="16">
        <v>0</v>
      </c>
      <c r="N47" s="18">
        <v>4</v>
      </c>
      <c r="O47" s="18">
        <v>4</v>
      </c>
      <c r="P47" s="18">
        <v>15</v>
      </c>
      <c r="Q47" s="18">
        <v>14</v>
      </c>
      <c r="R47" s="18">
        <v>31</v>
      </c>
      <c r="S47" s="18">
        <v>0</v>
      </c>
      <c r="T47" s="18">
        <v>30</v>
      </c>
      <c r="U47" s="18">
        <v>0</v>
      </c>
      <c r="V47" s="37">
        <f>+M47+O47+Q47+S47+U47</f>
        <v>18</v>
      </c>
      <c r="W47" s="36">
        <f>+V47/K47</f>
        <v>0.22500000000000001</v>
      </c>
      <c r="X47" s="165">
        <v>2.62</v>
      </c>
      <c r="Y47" s="165"/>
      <c r="Z47" s="165"/>
      <c r="AA47" s="165">
        <f>7.7-X47</f>
        <v>5.08</v>
      </c>
      <c r="AB47" s="165"/>
      <c r="AC47" s="165"/>
      <c r="AD47" s="165">
        <f>14-X47-AA47</f>
        <v>6.2999999999999989</v>
      </c>
      <c r="AE47" s="165"/>
      <c r="AF47" s="165"/>
      <c r="AG47" s="166">
        <v>0</v>
      </c>
      <c r="AH47" s="166"/>
      <c r="AI47" s="166"/>
      <c r="AJ47" s="170">
        <f t="shared" si="12"/>
        <v>14</v>
      </c>
      <c r="AK47" s="41">
        <f t="shared" si="13"/>
        <v>0.93333333333333335</v>
      </c>
      <c r="AL47" s="128"/>
      <c r="AM47" s="128"/>
      <c r="AN47" s="128"/>
      <c r="AO47" s="169"/>
      <c r="AP47" s="169"/>
      <c r="AQ47" s="160"/>
      <c r="AR47" s="160"/>
      <c r="AS47" s="178"/>
      <c r="AT47" s="178"/>
    </row>
    <row r="48" spans="1:46" s="23" customFormat="1" ht="12.75" customHeight="1" x14ac:dyDescent="0.2">
      <c r="A48" s="15"/>
      <c r="B48" s="126"/>
      <c r="C48" s="134"/>
      <c r="D48" s="134"/>
      <c r="E48" s="134"/>
      <c r="F48" s="98" t="s">
        <v>2473</v>
      </c>
      <c r="G48" s="98" t="s">
        <v>2335</v>
      </c>
      <c r="H48" s="98" t="s">
        <v>2472</v>
      </c>
      <c r="I48" s="98" t="s">
        <v>2416</v>
      </c>
      <c r="J48" s="93" t="s">
        <v>2261</v>
      </c>
      <c r="K48" s="75">
        <v>100</v>
      </c>
      <c r="L48" s="18">
        <v>0</v>
      </c>
      <c r="M48" s="16">
        <v>0</v>
      </c>
      <c r="N48" s="18">
        <v>17.739999999999998</v>
      </c>
      <c r="O48" s="18">
        <v>17.739999999999998</v>
      </c>
      <c r="P48" s="18">
        <v>62.26</v>
      </c>
      <c r="Q48" s="18">
        <v>34.31</v>
      </c>
      <c r="R48" s="18">
        <v>20</v>
      </c>
      <c r="S48" s="18">
        <v>0</v>
      </c>
      <c r="T48" s="18">
        <v>0</v>
      </c>
      <c r="U48" s="18">
        <v>0</v>
      </c>
      <c r="V48" s="37">
        <f>+M48+O48+Q48+S48+U48</f>
        <v>52.05</v>
      </c>
      <c r="W48" s="36">
        <f>+V48/K48</f>
        <v>0.52049999999999996</v>
      </c>
      <c r="X48" s="165">
        <v>3.11</v>
      </c>
      <c r="Y48" s="165"/>
      <c r="Z48" s="165"/>
      <c r="AA48" s="165">
        <f>28-X48</f>
        <v>24.89</v>
      </c>
      <c r="AB48" s="165"/>
      <c r="AC48" s="165"/>
      <c r="AD48" s="165">
        <f>34.31-X48-AA48</f>
        <v>6.3100000000000023</v>
      </c>
      <c r="AE48" s="165"/>
      <c r="AF48" s="165"/>
      <c r="AG48" s="166">
        <v>0</v>
      </c>
      <c r="AH48" s="166"/>
      <c r="AI48" s="166"/>
      <c r="AJ48" s="170">
        <f t="shared" si="12"/>
        <v>34.31</v>
      </c>
      <c r="AK48" s="41">
        <f t="shared" si="13"/>
        <v>0.55107613234821717</v>
      </c>
      <c r="AL48" s="128"/>
      <c r="AM48" s="128"/>
      <c r="AN48" s="128"/>
      <c r="AO48" s="169"/>
      <c r="AP48" s="169"/>
      <c r="AQ48" s="160"/>
      <c r="AR48" s="160"/>
      <c r="AS48" s="178"/>
      <c r="AT48" s="178"/>
    </row>
    <row r="49" spans="1:46" s="23" customFormat="1" ht="12.75" customHeight="1" x14ac:dyDescent="0.2">
      <c r="A49" s="15"/>
      <c r="B49" s="126"/>
      <c r="C49" s="134"/>
      <c r="D49" s="134"/>
      <c r="E49" s="134"/>
      <c r="F49" s="98" t="s">
        <v>2474</v>
      </c>
      <c r="G49" s="98" t="s">
        <v>2335</v>
      </c>
      <c r="H49" s="98" t="s">
        <v>2472</v>
      </c>
      <c r="I49" s="98" t="s">
        <v>2416</v>
      </c>
      <c r="J49" s="93" t="s">
        <v>2261</v>
      </c>
      <c r="K49" s="75">
        <f>+L49+N49+P49+R49+T49</f>
        <v>100.00000000000001</v>
      </c>
      <c r="L49" s="18">
        <v>0</v>
      </c>
      <c r="M49" s="16">
        <v>0</v>
      </c>
      <c r="N49" s="18">
        <v>1.7</v>
      </c>
      <c r="O49" s="18">
        <v>1.7</v>
      </c>
      <c r="P49" s="18">
        <v>33.1</v>
      </c>
      <c r="Q49" s="18">
        <v>13</v>
      </c>
      <c r="R49" s="18">
        <v>41</v>
      </c>
      <c r="S49" s="18">
        <v>0</v>
      </c>
      <c r="T49" s="18">
        <v>24.2</v>
      </c>
      <c r="U49" s="18">
        <v>0</v>
      </c>
      <c r="V49" s="37">
        <f>+M49+O49+Q49+S49+U49</f>
        <v>14.7</v>
      </c>
      <c r="W49" s="36">
        <f>+V49/K49</f>
        <v>0.14699999999999996</v>
      </c>
      <c r="X49" s="165">
        <v>6.8</v>
      </c>
      <c r="Y49" s="165"/>
      <c r="Z49" s="165"/>
      <c r="AA49" s="165">
        <f>11-X49</f>
        <v>4.2</v>
      </c>
      <c r="AB49" s="165"/>
      <c r="AC49" s="165"/>
      <c r="AD49" s="165">
        <f>13-X49-AA49</f>
        <v>2</v>
      </c>
      <c r="AE49" s="165"/>
      <c r="AF49" s="165"/>
      <c r="AG49" s="166">
        <v>0</v>
      </c>
      <c r="AH49" s="166"/>
      <c r="AI49" s="166"/>
      <c r="AJ49" s="170">
        <f t="shared" si="12"/>
        <v>13</v>
      </c>
      <c r="AK49" s="41">
        <f t="shared" si="13"/>
        <v>0.39274924471299094</v>
      </c>
      <c r="AL49" s="128"/>
      <c r="AM49" s="128"/>
      <c r="AN49" s="128"/>
      <c r="AO49" s="169"/>
      <c r="AP49" s="169"/>
      <c r="AQ49" s="160"/>
      <c r="AR49" s="160"/>
      <c r="AS49" s="178"/>
      <c r="AT49" s="178"/>
    </row>
    <row r="50" spans="1:46" s="23" customFormat="1" ht="12.75" customHeight="1" x14ac:dyDescent="0.2">
      <c r="A50" s="15"/>
      <c r="B50" s="126"/>
      <c r="C50" s="134"/>
      <c r="D50" s="134"/>
      <c r="E50" s="134"/>
      <c r="F50" s="98" t="s">
        <v>2453</v>
      </c>
      <c r="G50" s="98" t="s">
        <v>2335</v>
      </c>
      <c r="H50" s="98" t="s">
        <v>2418</v>
      </c>
      <c r="I50" s="98" t="s">
        <v>2236</v>
      </c>
      <c r="J50" s="93" t="s">
        <v>2258</v>
      </c>
      <c r="K50" s="77">
        <v>100</v>
      </c>
      <c r="L50" s="18">
        <v>100</v>
      </c>
      <c r="M50" s="16">
        <v>100</v>
      </c>
      <c r="N50" s="18">
        <v>100</v>
      </c>
      <c r="O50" s="18">
        <v>100</v>
      </c>
      <c r="P50" s="18">
        <v>100</v>
      </c>
      <c r="Q50" s="18">
        <v>75</v>
      </c>
      <c r="R50" s="18">
        <v>100</v>
      </c>
      <c r="S50" s="18">
        <v>0</v>
      </c>
      <c r="T50" s="18">
        <v>100</v>
      </c>
      <c r="U50" s="18">
        <v>0</v>
      </c>
      <c r="V50" s="19">
        <f>+AVERAGE(M50,O50,Q50,0,0)</f>
        <v>55</v>
      </c>
      <c r="W50" s="35">
        <f t="shared" ref="W50" si="14">+V50/K50</f>
        <v>0.55000000000000004</v>
      </c>
      <c r="X50" s="129">
        <v>25</v>
      </c>
      <c r="Y50" s="129"/>
      <c r="Z50" s="129"/>
      <c r="AA50" s="166">
        <v>25</v>
      </c>
      <c r="AB50" s="166"/>
      <c r="AC50" s="166"/>
      <c r="AD50" s="166">
        <v>25</v>
      </c>
      <c r="AE50" s="166"/>
      <c r="AF50" s="166"/>
      <c r="AG50" s="166">
        <v>0</v>
      </c>
      <c r="AH50" s="166"/>
      <c r="AI50" s="166"/>
      <c r="AJ50" s="101">
        <f t="shared" si="12"/>
        <v>75</v>
      </c>
      <c r="AK50" s="41">
        <f t="shared" si="13"/>
        <v>0.75</v>
      </c>
      <c r="AL50" s="128"/>
      <c r="AM50" s="128"/>
      <c r="AN50" s="128"/>
      <c r="AO50" s="40">
        <v>644723</v>
      </c>
      <c r="AP50" s="40">
        <v>394467</v>
      </c>
      <c r="AQ50" s="90">
        <v>855361828169</v>
      </c>
      <c r="AR50" s="90">
        <v>724052670649</v>
      </c>
      <c r="AS50" s="174">
        <v>2657589617410</v>
      </c>
      <c r="AT50" s="174">
        <v>2039040886743</v>
      </c>
    </row>
    <row r="51" spans="1:46" s="23" customFormat="1" ht="12.75" customHeight="1" x14ac:dyDescent="0.2">
      <c r="A51" s="15"/>
      <c r="B51" s="126"/>
      <c r="C51" s="98" t="s">
        <v>2272</v>
      </c>
      <c r="D51" s="98" t="s">
        <v>2427</v>
      </c>
      <c r="E51" s="98" t="s">
        <v>2393</v>
      </c>
      <c r="F51" s="98" t="s">
        <v>2371</v>
      </c>
      <c r="G51" s="98" t="s">
        <v>2370</v>
      </c>
      <c r="H51" s="98" t="s">
        <v>2372</v>
      </c>
      <c r="I51" s="98" t="s">
        <v>2269</v>
      </c>
      <c r="J51" s="94" t="s">
        <v>2261</v>
      </c>
      <c r="K51" s="75">
        <f>+L51+N51+P51+R51+T51</f>
        <v>5001</v>
      </c>
      <c r="L51" s="100">
        <v>0</v>
      </c>
      <c r="M51" s="16">
        <v>0</v>
      </c>
      <c r="N51" s="18">
        <v>1614</v>
      </c>
      <c r="O51" s="18">
        <v>1613</v>
      </c>
      <c r="P51" s="18">
        <v>626</v>
      </c>
      <c r="Q51" s="18">
        <v>90</v>
      </c>
      <c r="R51" s="18">
        <v>0</v>
      </c>
      <c r="S51" s="18">
        <v>0</v>
      </c>
      <c r="T51" s="18">
        <v>2761</v>
      </c>
      <c r="U51" s="18">
        <v>0</v>
      </c>
      <c r="V51" s="30">
        <f>+M51+O51+Q51+S51+U51</f>
        <v>1703</v>
      </c>
      <c r="W51" s="20">
        <f t="shared" si="7"/>
        <v>0.34053189362127573</v>
      </c>
      <c r="X51" s="129">
        <v>72</v>
      </c>
      <c r="Y51" s="129"/>
      <c r="Z51" s="129"/>
      <c r="AA51" s="166">
        <v>18</v>
      </c>
      <c r="AB51" s="166"/>
      <c r="AC51" s="166"/>
      <c r="AD51" s="166">
        <v>0</v>
      </c>
      <c r="AE51" s="166"/>
      <c r="AF51" s="166"/>
      <c r="AG51" s="166">
        <v>0</v>
      </c>
      <c r="AH51" s="166"/>
      <c r="AI51" s="166"/>
      <c r="AJ51" s="101">
        <f t="shared" si="12"/>
        <v>90</v>
      </c>
      <c r="AK51" s="22">
        <f t="shared" si="13"/>
        <v>0.14376996805111822</v>
      </c>
      <c r="AL51" s="128" t="s">
        <v>2562</v>
      </c>
      <c r="AM51" s="128" t="s">
        <v>2563</v>
      </c>
      <c r="AN51" s="128" t="s">
        <v>2564</v>
      </c>
      <c r="AO51" s="40">
        <v>0</v>
      </c>
      <c r="AP51" s="40">
        <v>0</v>
      </c>
      <c r="AQ51" s="40">
        <v>0</v>
      </c>
      <c r="AR51" s="40">
        <v>0</v>
      </c>
      <c r="AS51" s="174">
        <v>5358001405</v>
      </c>
      <c r="AT51" s="174">
        <v>0</v>
      </c>
    </row>
    <row r="52" spans="1:46" s="23" customFormat="1" ht="12.75" customHeight="1" x14ac:dyDescent="0.2">
      <c r="A52" s="15"/>
      <c r="B52" s="126"/>
      <c r="C52" s="98" t="s">
        <v>2272</v>
      </c>
      <c r="D52" s="98" t="s">
        <v>2427</v>
      </c>
      <c r="E52" s="98" t="s">
        <v>2393</v>
      </c>
      <c r="F52" s="98" t="s">
        <v>2480</v>
      </c>
      <c r="G52" s="98" t="s">
        <v>2370</v>
      </c>
      <c r="H52" s="98" t="s">
        <v>2481</v>
      </c>
      <c r="I52" s="98" t="s">
        <v>2235</v>
      </c>
      <c r="J52" s="94" t="s">
        <v>2261</v>
      </c>
      <c r="K52" s="75">
        <f>+L52+N52+P52+R52+T52</f>
        <v>33646</v>
      </c>
      <c r="L52" s="100">
        <v>0</v>
      </c>
      <c r="M52" s="16">
        <v>0</v>
      </c>
      <c r="N52" s="18">
        <v>19266</v>
      </c>
      <c r="O52" s="18">
        <v>19266</v>
      </c>
      <c r="P52" s="18">
        <v>9000</v>
      </c>
      <c r="Q52" s="18">
        <v>3693</v>
      </c>
      <c r="R52" s="18">
        <v>5000</v>
      </c>
      <c r="S52" s="18">
        <v>0</v>
      </c>
      <c r="T52" s="18">
        <v>380</v>
      </c>
      <c r="U52" s="18">
        <v>0</v>
      </c>
      <c r="V52" s="30">
        <f>+M52+O52+Q52+S52+U52</f>
        <v>22959</v>
      </c>
      <c r="W52" s="20">
        <f t="shared" si="7"/>
        <v>0.68236937526006058</v>
      </c>
      <c r="X52" s="129">
        <v>1475</v>
      </c>
      <c r="Y52" s="129"/>
      <c r="Z52" s="129"/>
      <c r="AA52" s="166">
        <f>3267-X52</f>
        <v>1792</v>
      </c>
      <c r="AB52" s="166"/>
      <c r="AC52" s="166"/>
      <c r="AD52" s="166">
        <f>3693-AA52-X52</f>
        <v>426</v>
      </c>
      <c r="AE52" s="166"/>
      <c r="AF52" s="166"/>
      <c r="AG52" s="166">
        <v>0</v>
      </c>
      <c r="AH52" s="166"/>
      <c r="AI52" s="166"/>
      <c r="AJ52" s="101">
        <f t="shared" si="12"/>
        <v>3693</v>
      </c>
      <c r="AK52" s="22">
        <f t="shared" si="13"/>
        <v>0.41033333333333333</v>
      </c>
      <c r="AL52" s="128"/>
      <c r="AM52" s="128"/>
      <c r="AN52" s="128"/>
      <c r="AO52" s="40">
        <v>0</v>
      </c>
      <c r="AP52" s="40">
        <v>0</v>
      </c>
      <c r="AQ52" s="40">
        <v>0</v>
      </c>
      <c r="AR52" s="40">
        <v>0</v>
      </c>
      <c r="AS52" s="174">
        <v>0</v>
      </c>
      <c r="AT52" s="174">
        <v>0</v>
      </c>
    </row>
    <row r="53" spans="1:46" s="23" customFormat="1" ht="12.75" customHeight="1" x14ac:dyDescent="0.2">
      <c r="A53" s="15"/>
      <c r="B53" s="126"/>
      <c r="C53" s="98" t="s">
        <v>2272</v>
      </c>
      <c r="D53" s="98" t="s">
        <v>2427</v>
      </c>
      <c r="E53" s="98" t="s">
        <v>2393</v>
      </c>
      <c r="F53" s="98" t="s">
        <v>2483</v>
      </c>
      <c r="G53" s="98" t="s">
        <v>2370</v>
      </c>
      <c r="H53" s="98" t="s">
        <v>2482</v>
      </c>
      <c r="I53" s="98" t="s">
        <v>2235</v>
      </c>
      <c r="J53" s="94" t="s">
        <v>2261</v>
      </c>
      <c r="K53" s="75">
        <v>100</v>
      </c>
      <c r="L53" s="100">
        <v>0</v>
      </c>
      <c r="M53" s="16">
        <v>0</v>
      </c>
      <c r="N53" s="18">
        <v>36</v>
      </c>
      <c r="O53" s="18">
        <v>36</v>
      </c>
      <c r="P53" s="18">
        <v>32</v>
      </c>
      <c r="Q53" s="18">
        <v>25</v>
      </c>
      <c r="R53" s="18">
        <v>32</v>
      </c>
      <c r="S53" s="18">
        <v>0</v>
      </c>
      <c r="T53" s="18">
        <v>0</v>
      </c>
      <c r="U53" s="18">
        <v>0</v>
      </c>
      <c r="V53" s="30">
        <f>+M53+O53+Q53+S53+U53</f>
        <v>61</v>
      </c>
      <c r="W53" s="20">
        <f t="shared" si="7"/>
        <v>0.61</v>
      </c>
      <c r="X53" s="129">
        <v>8.5</v>
      </c>
      <c r="Y53" s="129"/>
      <c r="Z53" s="129"/>
      <c r="AA53" s="166">
        <f>17-X53</f>
        <v>8.5</v>
      </c>
      <c r="AB53" s="166"/>
      <c r="AC53" s="166"/>
      <c r="AD53" s="166">
        <f>25.6-AA53-X53</f>
        <v>8.6000000000000014</v>
      </c>
      <c r="AE53" s="166"/>
      <c r="AF53" s="166"/>
      <c r="AG53" s="166">
        <v>0</v>
      </c>
      <c r="AH53" s="166"/>
      <c r="AI53" s="166"/>
      <c r="AJ53" s="42">
        <f t="shared" si="12"/>
        <v>25.6</v>
      </c>
      <c r="AK53" s="22">
        <f t="shared" si="13"/>
        <v>0.8</v>
      </c>
      <c r="AL53" s="128"/>
      <c r="AM53" s="128"/>
      <c r="AN53" s="128"/>
      <c r="AO53" s="40">
        <v>0</v>
      </c>
      <c r="AP53" s="40">
        <v>0</v>
      </c>
      <c r="AQ53" s="40">
        <v>0</v>
      </c>
      <c r="AR53" s="40">
        <v>0</v>
      </c>
      <c r="AS53" s="174">
        <v>0</v>
      </c>
      <c r="AT53" s="174">
        <v>0</v>
      </c>
    </row>
    <row r="54" spans="1:46" s="23" customFormat="1" ht="12.75" customHeight="1" x14ac:dyDescent="0.2">
      <c r="A54" s="15"/>
      <c r="B54" s="126"/>
      <c r="C54" s="134" t="s">
        <v>2272</v>
      </c>
      <c r="D54" s="134" t="s">
        <v>2427</v>
      </c>
      <c r="E54" s="134" t="s">
        <v>2393</v>
      </c>
      <c r="F54" s="98" t="s">
        <v>2329</v>
      </c>
      <c r="G54" s="98" t="s">
        <v>2330</v>
      </c>
      <c r="H54" s="98" t="s">
        <v>2419</v>
      </c>
      <c r="I54" s="98" t="s">
        <v>2420</v>
      </c>
      <c r="J54" s="93" t="s">
        <v>2261</v>
      </c>
      <c r="K54" s="75">
        <f>+L54+N54+P54+R54+T54</f>
        <v>6</v>
      </c>
      <c r="L54" s="18">
        <v>0</v>
      </c>
      <c r="M54" s="16">
        <v>0</v>
      </c>
      <c r="N54" s="18">
        <v>3</v>
      </c>
      <c r="O54" s="18">
        <v>3</v>
      </c>
      <c r="P54" s="18">
        <v>3</v>
      </c>
      <c r="Q54" s="18">
        <v>0</v>
      </c>
      <c r="R54" s="18">
        <v>0</v>
      </c>
      <c r="S54" s="18">
        <v>0</v>
      </c>
      <c r="T54" s="18">
        <v>0</v>
      </c>
      <c r="U54" s="18">
        <v>0</v>
      </c>
      <c r="V54" s="19">
        <f>+M54+O54+Q54+S54+U54</f>
        <v>3</v>
      </c>
      <c r="W54" s="35">
        <f>+V54/K54</f>
        <v>0.5</v>
      </c>
      <c r="X54" s="129">
        <v>0</v>
      </c>
      <c r="Y54" s="129"/>
      <c r="Z54" s="129"/>
      <c r="AA54" s="166">
        <v>0</v>
      </c>
      <c r="AB54" s="166"/>
      <c r="AC54" s="166"/>
      <c r="AD54" s="166">
        <v>0</v>
      </c>
      <c r="AE54" s="166"/>
      <c r="AF54" s="166"/>
      <c r="AG54" s="166">
        <v>0</v>
      </c>
      <c r="AH54" s="166"/>
      <c r="AI54" s="166"/>
      <c r="AJ54" s="101">
        <f t="shared" si="12"/>
        <v>0</v>
      </c>
      <c r="AK54" s="28">
        <f t="shared" si="13"/>
        <v>0</v>
      </c>
      <c r="AL54" s="128" t="s">
        <v>2572</v>
      </c>
      <c r="AM54" s="128" t="s">
        <v>2491</v>
      </c>
      <c r="AN54" s="128" t="s">
        <v>2573</v>
      </c>
      <c r="AO54" s="169">
        <v>203</v>
      </c>
      <c r="AP54" s="169">
        <v>0</v>
      </c>
      <c r="AQ54" s="160">
        <v>82377665</v>
      </c>
      <c r="AR54" s="160">
        <v>82377665</v>
      </c>
      <c r="AS54" s="178">
        <v>0</v>
      </c>
      <c r="AT54" s="178">
        <v>0</v>
      </c>
    </row>
    <row r="55" spans="1:46" s="23" customFormat="1" ht="12.75" customHeight="1" x14ac:dyDescent="0.2">
      <c r="A55" s="15"/>
      <c r="B55" s="126"/>
      <c r="C55" s="134"/>
      <c r="D55" s="134"/>
      <c r="E55" s="134"/>
      <c r="F55" s="98" t="s">
        <v>2450</v>
      </c>
      <c r="G55" s="98" t="s">
        <v>2330</v>
      </c>
      <c r="H55" s="98" t="s">
        <v>2451</v>
      </c>
      <c r="I55" s="98" t="s">
        <v>2420</v>
      </c>
      <c r="J55" s="93" t="s">
        <v>2452</v>
      </c>
      <c r="K55" s="75">
        <f>+L55+N55+P55+R55+T55</f>
        <v>6</v>
      </c>
      <c r="L55" s="18">
        <v>0</v>
      </c>
      <c r="M55" s="16">
        <v>0</v>
      </c>
      <c r="N55" s="18">
        <v>3</v>
      </c>
      <c r="O55" s="18">
        <v>3</v>
      </c>
      <c r="P55" s="18">
        <v>3</v>
      </c>
      <c r="Q55" s="18">
        <v>0</v>
      </c>
      <c r="R55" s="18">
        <v>0</v>
      </c>
      <c r="S55" s="18">
        <v>0</v>
      </c>
      <c r="T55" s="18">
        <v>0</v>
      </c>
      <c r="U55" s="18">
        <v>0</v>
      </c>
      <c r="V55" s="19">
        <f>+M55+O55+Q55+S55+U55</f>
        <v>3</v>
      </c>
      <c r="W55" s="35">
        <f>+V55/K55</f>
        <v>0.5</v>
      </c>
      <c r="X55" s="129">
        <v>0</v>
      </c>
      <c r="Y55" s="129"/>
      <c r="Z55" s="129"/>
      <c r="AA55" s="166">
        <v>0</v>
      </c>
      <c r="AB55" s="166"/>
      <c r="AC55" s="166"/>
      <c r="AD55" s="166">
        <v>0</v>
      </c>
      <c r="AE55" s="166"/>
      <c r="AF55" s="166"/>
      <c r="AG55" s="166">
        <v>0</v>
      </c>
      <c r="AH55" s="166"/>
      <c r="AI55" s="166"/>
      <c r="AJ55" s="101">
        <f t="shared" si="12"/>
        <v>0</v>
      </c>
      <c r="AK55" s="28">
        <f t="shared" si="13"/>
        <v>0</v>
      </c>
      <c r="AL55" s="128"/>
      <c r="AM55" s="128"/>
      <c r="AN55" s="128"/>
      <c r="AO55" s="169"/>
      <c r="AP55" s="169"/>
      <c r="AQ55" s="160"/>
      <c r="AR55" s="160"/>
      <c r="AS55" s="178"/>
      <c r="AT55" s="178"/>
    </row>
    <row r="56" spans="1:46" s="23" customFormat="1" ht="12.75" customHeight="1" x14ac:dyDescent="0.2">
      <c r="A56" s="15"/>
      <c r="B56" s="126"/>
      <c r="C56" s="134"/>
      <c r="D56" s="134"/>
      <c r="E56" s="134"/>
      <c r="F56" s="98" t="s">
        <v>2449</v>
      </c>
      <c r="G56" s="98" t="s">
        <v>2330</v>
      </c>
      <c r="H56" s="98" t="s">
        <v>2421</v>
      </c>
      <c r="I56" s="98" t="s">
        <v>2236</v>
      </c>
      <c r="J56" s="93" t="s">
        <v>2258</v>
      </c>
      <c r="K56" s="77">
        <v>100</v>
      </c>
      <c r="L56" s="18">
        <v>100</v>
      </c>
      <c r="M56" s="16">
        <v>100</v>
      </c>
      <c r="N56" s="18">
        <v>100</v>
      </c>
      <c r="O56" s="18">
        <v>100</v>
      </c>
      <c r="P56" s="18">
        <v>100</v>
      </c>
      <c r="Q56" s="18">
        <v>75</v>
      </c>
      <c r="R56" s="18">
        <v>100</v>
      </c>
      <c r="S56" s="18">
        <v>0</v>
      </c>
      <c r="T56" s="18">
        <v>100</v>
      </c>
      <c r="U56" s="18">
        <v>0</v>
      </c>
      <c r="V56" s="19">
        <f>+AVERAGE(M56,O56,Q56,0,0)</f>
        <v>55</v>
      </c>
      <c r="W56" s="35">
        <f>+V56/K56</f>
        <v>0.55000000000000004</v>
      </c>
      <c r="X56" s="129">
        <v>25</v>
      </c>
      <c r="Y56" s="129"/>
      <c r="Z56" s="129"/>
      <c r="AA56" s="166">
        <v>25</v>
      </c>
      <c r="AB56" s="166"/>
      <c r="AC56" s="166"/>
      <c r="AD56" s="166">
        <v>25</v>
      </c>
      <c r="AE56" s="166"/>
      <c r="AF56" s="166"/>
      <c r="AG56" s="166">
        <v>0</v>
      </c>
      <c r="AH56" s="166"/>
      <c r="AI56" s="166"/>
      <c r="AJ56" s="101">
        <f t="shared" si="12"/>
        <v>75</v>
      </c>
      <c r="AK56" s="22">
        <f t="shared" si="13"/>
        <v>0.75</v>
      </c>
      <c r="AL56" s="128"/>
      <c r="AM56" s="128"/>
      <c r="AN56" s="128"/>
      <c r="AO56" s="40">
        <v>33138</v>
      </c>
      <c r="AP56" s="40">
        <v>8126</v>
      </c>
      <c r="AQ56" s="90">
        <v>239285236421</v>
      </c>
      <c r="AR56" s="90">
        <v>239265818665</v>
      </c>
      <c r="AS56" s="174">
        <v>523894765466</v>
      </c>
      <c r="AT56" s="174">
        <v>81419009822</v>
      </c>
    </row>
    <row r="57" spans="1:46" s="23" customFormat="1" ht="12.75" customHeight="1" x14ac:dyDescent="0.2">
      <c r="A57" s="15"/>
      <c r="B57" s="126"/>
      <c r="C57" s="134" t="s">
        <v>2272</v>
      </c>
      <c r="D57" s="134" t="s">
        <v>2427</v>
      </c>
      <c r="E57" s="134" t="s">
        <v>2393</v>
      </c>
      <c r="F57" s="98" t="s">
        <v>2331</v>
      </c>
      <c r="G57" s="98" t="s">
        <v>2332</v>
      </c>
      <c r="H57" s="98" t="s">
        <v>2333</v>
      </c>
      <c r="I57" s="98" t="s">
        <v>2269</v>
      </c>
      <c r="J57" s="93" t="s">
        <v>2261</v>
      </c>
      <c r="K57" s="75">
        <v>43</v>
      </c>
      <c r="L57" s="18">
        <v>0</v>
      </c>
      <c r="M57" s="16">
        <v>0</v>
      </c>
      <c r="N57" s="18">
        <v>24</v>
      </c>
      <c r="O57" s="18">
        <v>20</v>
      </c>
      <c r="P57" s="18">
        <v>3</v>
      </c>
      <c r="Q57" s="18">
        <v>3</v>
      </c>
      <c r="R57" s="18">
        <v>0</v>
      </c>
      <c r="S57" s="18">
        <v>0</v>
      </c>
      <c r="T57" s="18">
        <v>20</v>
      </c>
      <c r="U57" s="18">
        <v>0</v>
      </c>
      <c r="V57" s="19">
        <f>+M57+O57+Q57+S57+U57</f>
        <v>23</v>
      </c>
      <c r="W57" s="20">
        <f>+V57/K57</f>
        <v>0.53488372093023251</v>
      </c>
      <c r="X57" s="129">
        <v>1</v>
      </c>
      <c r="Y57" s="129"/>
      <c r="Z57" s="129"/>
      <c r="AA57" s="166">
        <v>2</v>
      </c>
      <c r="AB57" s="166"/>
      <c r="AC57" s="166"/>
      <c r="AD57" s="166">
        <v>0</v>
      </c>
      <c r="AE57" s="166"/>
      <c r="AF57" s="166"/>
      <c r="AG57" s="166">
        <v>0</v>
      </c>
      <c r="AH57" s="166"/>
      <c r="AI57" s="166"/>
      <c r="AJ57" s="101">
        <f t="shared" si="12"/>
        <v>3</v>
      </c>
      <c r="AK57" s="22">
        <f t="shared" ref="AK51:AK61" si="15">+AJ57/P57</f>
        <v>1</v>
      </c>
      <c r="AL57" s="128" t="s">
        <v>2567</v>
      </c>
      <c r="AM57" s="128" t="s">
        <v>2493</v>
      </c>
      <c r="AN57" s="128" t="s">
        <v>2568</v>
      </c>
      <c r="AO57" s="40">
        <v>0</v>
      </c>
      <c r="AP57" s="40">
        <v>0</v>
      </c>
      <c r="AQ57" s="90">
        <v>0</v>
      </c>
      <c r="AR57" s="90">
        <v>0</v>
      </c>
      <c r="AS57" s="174">
        <v>0</v>
      </c>
      <c r="AT57" s="174">
        <v>0</v>
      </c>
    </row>
    <row r="58" spans="1:46" s="23" customFormat="1" ht="12.75" customHeight="1" x14ac:dyDescent="0.2">
      <c r="A58" s="15"/>
      <c r="B58" s="126"/>
      <c r="C58" s="134"/>
      <c r="D58" s="134"/>
      <c r="E58" s="134"/>
      <c r="F58" s="98" t="s">
        <v>2455</v>
      </c>
      <c r="G58" s="98" t="s">
        <v>2332</v>
      </c>
      <c r="H58" s="98" t="s">
        <v>2422</v>
      </c>
      <c r="I58" s="98" t="s">
        <v>2236</v>
      </c>
      <c r="J58" s="93" t="s">
        <v>2258</v>
      </c>
      <c r="K58" s="77">
        <v>100</v>
      </c>
      <c r="L58" s="18">
        <v>100</v>
      </c>
      <c r="M58" s="16">
        <v>100</v>
      </c>
      <c r="N58" s="18">
        <v>100</v>
      </c>
      <c r="O58" s="18">
        <v>100</v>
      </c>
      <c r="P58" s="18">
        <v>100</v>
      </c>
      <c r="Q58" s="18">
        <v>75</v>
      </c>
      <c r="R58" s="18">
        <v>100</v>
      </c>
      <c r="S58" s="18">
        <v>0</v>
      </c>
      <c r="T58" s="18">
        <v>100</v>
      </c>
      <c r="U58" s="18">
        <v>0</v>
      </c>
      <c r="V58" s="19">
        <f>+AVERAGE(M58,O58,Q58,0,0)</f>
        <v>55</v>
      </c>
      <c r="W58" s="35">
        <f t="shared" ref="W58" si="16">+V58/K58</f>
        <v>0.55000000000000004</v>
      </c>
      <c r="X58" s="129">
        <v>25</v>
      </c>
      <c r="Y58" s="129"/>
      <c r="Z58" s="129"/>
      <c r="AA58" s="166">
        <v>25</v>
      </c>
      <c r="AB58" s="166"/>
      <c r="AC58" s="166"/>
      <c r="AD58" s="166">
        <v>25</v>
      </c>
      <c r="AE58" s="166"/>
      <c r="AF58" s="166"/>
      <c r="AG58" s="166">
        <v>0</v>
      </c>
      <c r="AH58" s="166"/>
      <c r="AI58" s="166"/>
      <c r="AJ58" s="101">
        <f t="shared" si="12"/>
        <v>75</v>
      </c>
      <c r="AK58" s="22">
        <f t="shared" si="15"/>
        <v>0.75</v>
      </c>
      <c r="AL58" s="128"/>
      <c r="AM58" s="128"/>
      <c r="AN58" s="128"/>
      <c r="AO58" s="40">
        <v>20166</v>
      </c>
      <c r="AP58" s="40">
        <v>10404</v>
      </c>
      <c r="AQ58" s="90">
        <v>49114695513</v>
      </c>
      <c r="AR58" s="90">
        <v>42169835151</v>
      </c>
      <c r="AS58" s="174">
        <v>58838601872</v>
      </c>
      <c r="AT58" s="174">
        <v>49094707936</v>
      </c>
    </row>
    <row r="59" spans="1:46" s="23" customFormat="1" ht="12.75" customHeight="1" x14ac:dyDescent="0.2">
      <c r="A59" s="15"/>
      <c r="B59" s="126"/>
      <c r="C59" s="134" t="s">
        <v>2272</v>
      </c>
      <c r="D59" s="134" t="s">
        <v>2427</v>
      </c>
      <c r="E59" s="134" t="s">
        <v>2393</v>
      </c>
      <c r="F59" s="134" t="s">
        <v>2327</v>
      </c>
      <c r="G59" s="98" t="s">
        <v>2328</v>
      </c>
      <c r="H59" s="134" t="s">
        <v>2337</v>
      </c>
      <c r="I59" s="98" t="s">
        <v>2236</v>
      </c>
      <c r="J59" s="93" t="s">
        <v>2259</v>
      </c>
      <c r="K59" s="77">
        <v>100</v>
      </c>
      <c r="L59" s="18">
        <v>20</v>
      </c>
      <c r="M59" s="16">
        <v>20</v>
      </c>
      <c r="N59" s="18">
        <v>40</v>
      </c>
      <c r="O59" s="18">
        <v>40</v>
      </c>
      <c r="P59" s="18">
        <v>60</v>
      </c>
      <c r="Q59" s="18">
        <v>55</v>
      </c>
      <c r="R59" s="18">
        <v>80</v>
      </c>
      <c r="S59" s="18">
        <v>0</v>
      </c>
      <c r="T59" s="18">
        <v>100</v>
      </c>
      <c r="U59" s="18">
        <v>0</v>
      </c>
      <c r="V59" s="37">
        <f>+Q59</f>
        <v>55</v>
      </c>
      <c r="W59" s="20">
        <f t="shared" si="7"/>
        <v>0.55000000000000004</v>
      </c>
      <c r="X59" s="129">
        <v>40.25</v>
      </c>
      <c r="Y59" s="129"/>
      <c r="Z59" s="129"/>
      <c r="AA59" s="166">
        <f>50-X59</f>
        <v>9.75</v>
      </c>
      <c r="AB59" s="166"/>
      <c r="AC59" s="166"/>
      <c r="AD59" s="166">
        <f>55-AA59-X59</f>
        <v>5</v>
      </c>
      <c r="AE59" s="166"/>
      <c r="AF59" s="166"/>
      <c r="AG59" s="166">
        <v>0</v>
      </c>
      <c r="AH59" s="166"/>
      <c r="AI59" s="166"/>
      <c r="AJ59" s="101">
        <f t="shared" si="12"/>
        <v>55</v>
      </c>
      <c r="AK59" s="22">
        <f t="shared" si="15"/>
        <v>0.91666666666666663</v>
      </c>
      <c r="AL59" s="128" t="s">
        <v>2560</v>
      </c>
      <c r="AM59" s="128" t="s">
        <v>2494</v>
      </c>
      <c r="AN59" s="128" t="s">
        <v>2561</v>
      </c>
      <c r="AO59" s="40">
        <v>0</v>
      </c>
      <c r="AP59" s="40">
        <v>0</v>
      </c>
      <c r="AQ59" s="90">
        <v>164368030</v>
      </c>
      <c r="AR59" s="90">
        <v>164089227</v>
      </c>
      <c r="AS59" s="174">
        <v>680310955</v>
      </c>
      <c r="AT59" s="174">
        <v>80310955</v>
      </c>
    </row>
    <row r="60" spans="1:46" s="23" customFormat="1" ht="12.75" customHeight="1" x14ac:dyDescent="0.2">
      <c r="A60" s="15"/>
      <c r="B60" s="126"/>
      <c r="C60" s="134"/>
      <c r="D60" s="134"/>
      <c r="E60" s="134"/>
      <c r="F60" s="134"/>
      <c r="G60" s="98" t="s">
        <v>2328</v>
      </c>
      <c r="H60" s="134"/>
      <c r="I60" s="98" t="s">
        <v>2235</v>
      </c>
      <c r="J60" s="93" t="s">
        <v>2258</v>
      </c>
      <c r="K60" s="77">
        <v>1</v>
      </c>
      <c r="L60" s="18">
        <v>1</v>
      </c>
      <c r="M60" s="16">
        <v>1</v>
      </c>
      <c r="N60" s="18">
        <v>1</v>
      </c>
      <c r="O60" s="18">
        <v>1</v>
      </c>
      <c r="P60" s="18">
        <v>1</v>
      </c>
      <c r="Q60" s="18">
        <v>0.82</v>
      </c>
      <c r="R60" s="18">
        <v>1</v>
      </c>
      <c r="S60" s="18">
        <v>0</v>
      </c>
      <c r="T60" s="18">
        <v>1</v>
      </c>
      <c r="U60" s="18">
        <v>0</v>
      </c>
      <c r="V60" s="19">
        <f>+AVERAGE(M60,O60,Q60,0,0)</f>
        <v>0.56399999999999995</v>
      </c>
      <c r="W60" s="20">
        <f>+V60/K60</f>
        <v>0.56399999999999995</v>
      </c>
      <c r="X60" s="129">
        <v>0.41</v>
      </c>
      <c r="Y60" s="129"/>
      <c r="Z60" s="129"/>
      <c r="AA60" s="165">
        <f>0.53-X60</f>
        <v>0.12000000000000005</v>
      </c>
      <c r="AB60" s="165"/>
      <c r="AC60" s="165"/>
      <c r="AD60" s="165">
        <f>0.82-AA60-X60</f>
        <v>0.28999999999999998</v>
      </c>
      <c r="AE60" s="165"/>
      <c r="AF60" s="165"/>
      <c r="AG60" s="166">
        <v>0</v>
      </c>
      <c r="AH60" s="166"/>
      <c r="AI60" s="166"/>
      <c r="AJ60" s="101">
        <f t="shared" si="12"/>
        <v>0.82000000000000006</v>
      </c>
      <c r="AK60" s="28">
        <f t="shared" si="15"/>
        <v>0.82000000000000006</v>
      </c>
      <c r="AL60" s="128"/>
      <c r="AM60" s="128"/>
      <c r="AN60" s="128"/>
      <c r="AO60" s="40">
        <v>2224</v>
      </c>
      <c r="AP60" s="40">
        <v>2224</v>
      </c>
      <c r="AQ60" s="90">
        <v>1542789535</v>
      </c>
      <c r="AR60" s="90">
        <v>1542789533</v>
      </c>
      <c r="AS60" s="174">
        <v>1054594826</v>
      </c>
      <c r="AT60" s="174">
        <v>1017073851</v>
      </c>
    </row>
    <row r="61" spans="1:46" s="23" customFormat="1" ht="12.75" customHeight="1" x14ac:dyDescent="0.2">
      <c r="A61" s="15"/>
      <c r="B61" s="126"/>
      <c r="C61" s="98" t="s">
        <v>2272</v>
      </c>
      <c r="D61" s="98" t="s">
        <v>2427</v>
      </c>
      <c r="E61" s="98" t="s">
        <v>2393</v>
      </c>
      <c r="F61" s="98" t="s">
        <v>2384</v>
      </c>
      <c r="G61" s="98" t="s">
        <v>2383</v>
      </c>
      <c r="H61" s="98" t="s">
        <v>2385</v>
      </c>
      <c r="I61" s="98" t="s">
        <v>2236</v>
      </c>
      <c r="J61" s="93" t="s">
        <v>2258</v>
      </c>
      <c r="K61" s="77">
        <v>100</v>
      </c>
      <c r="L61" s="18">
        <v>100</v>
      </c>
      <c r="M61" s="16">
        <v>100</v>
      </c>
      <c r="N61" s="18">
        <v>100</v>
      </c>
      <c r="O61" s="18">
        <v>100</v>
      </c>
      <c r="P61" s="18">
        <v>100</v>
      </c>
      <c r="Q61" s="18">
        <v>75</v>
      </c>
      <c r="R61" s="18">
        <v>100</v>
      </c>
      <c r="S61" s="18">
        <v>0</v>
      </c>
      <c r="T61" s="18">
        <v>100</v>
      </c>
      <c r="U61" s="18">
        <v>0</v>
      </c>
      <c r="V61" s="19">
        <f>+AVERAGE(M61,O61,Q61,0,0)</f>
        <v>55</v>
      </c>
      <c r="W61" s="35">
        <f t="shared" ref="W61" si="17">+V61/K61</f>
        <v>0.55000000000000004</v>
      </c>
      <c r="X61" s="129">
        <v>25</v>
      </c>
      <c r="Y61" s="129"/>
      <c r="Z61" s="129"/>
      <c r="AA61" s="166">
        <v>25</v>
      </c>
      <c r="AB61" s="166"/>
      <c r="AC61" s="166"/>
      <c r="AD61" s="166">
        <v>25</v>
      </c>
      <c r="AE61" s="166"/>
      <c r="AF61" s="166"/>
      <c r="AG61" s="166">
        <v>0</v>
      </c>
      <c r="AH61" s="166"/>
      <c r="AI61" s="166"/>
      <c r="AJ61" s="101">
        <f t="shared" si="12"/>
        <v>75</v>
      </c>
      <c r="AK61" s="22">
        <f t="shared" si="15"/>
        <v>0.75</v>
      </c>
      <c r="AL61" s="93" t="s">
        <v>2570</v>
      </c>
      <c r="AM61" s="93" t="s">
        <v>2492</v>
      </c>
      <c r="AN61" s="93" t="s">
        <v>2571</v>
      </c>
      <c r="AO61" s="40">
        <v>18946</v>
      </c>
      <c r="AP61" s="40">
        <v>18852</v>
      </c>
      <c r="AQ61" s="90">
        <v>101460657421</v>
      </c>
      <c r="AR61" s="90">
        <v>90384116245</v>
      </c>
      <c r="AS61" s="174">
        <v>113776997912</v>
      </c>
      <c r="AT61" s="174">
        <v>108466597286</v>
      </c>
    </row>
    <row r="62" spans="1:46" s="23" customFormat="1" ht="12.75" customHeight="1" x14ac:dyDescent="0.2">
      <c r="A62" s="15"/>
      <c r="B62" s="126"/>
      <c r="C62" s="134" t="s">
        <v>2272</v>
      </c>
      <c r="D62" s="134" t="s">
        <v>2427</v>
      </c>
      <c r="E62" s="134" t="s">
        <v>2393</v>
      </c>
      <c r="F62" s="98" t="s">
        <v>2350</v>
      </c>
      <c r="G62" s="98" t="s">
        <v>2390</v>
      </c>
      <c r="H62" s="98" t="s">
        <v>2391</v>
      </c>
      <c r="I62" s="98" t="s">
        <v>2269</v>
      </c>
      <c r="J62" s="93" t="s">
        <v>2261</v>
      </c>
      <c r="K62" s="75">
        <f>+L62+N62+P62+R62+T62</f>
        <v>1</v>
      </c>
      <c r="L62" s="18">
        <v>0</v>
      </c>
      <c r="M62" s="16">
        <f t="shared" ref="M62:M63" si="18">AD62+AG62</f>
        <v>0</v>
      </c>
      <c r="N62" s="18">
        <v>0</v>
      </c>
      <c r="O62" s="18">
        <v>0</v>
      </c>
      <c r="P62" s="18">
        <v>0</v>
      </c>
      <c r="Q62" s="18">
        <v>0</v>
      </c>
      <c r="R62" s="18">
        <v>0</v>
      </c>
      <c r="S62" s="18">
        <v>0</v>
      </c>
      <c r="T62" s="18">
        <v>1</v>
      </c>
      <c r="U62" s="18">
        <v>0</v>
      </c>
      <c r="V62" s="30">
        <f>+M62+O62+Q62+S62+U62</f>
        <v>0</v>
      </c>
      <c r="W62" s="20">
        <f>+V62/K62</f>
        <v>0</v>
      </c>
      <c r="X62" s="166">
        <v>0</v>
      </c>
      <c r="Y62" s="166"/>
      <c r="Z62" s="166"/>
      <c r="AA62" s="166">
        <v>0</v>
      </c>
      <c r="AB62" s="166"/>
      <c r="AC62" s="166"/>
      <c r="AD62" s="166">
        <v>0</v>
      </c>
      <c r="AE62" s="166"/>
      <c r="AF62" s="166"/>
      <c r="AG62" s="166">
        <v>0</v>
      </c>
      <c r="AH62" s="166"/>
      <c r="AI62" s="166"/>
      <c r="AJ62" s="168">
        <v>0</v>
      </c>
      <c r="AK62" s="22">
        <f>IFERROR(AJ62/P62,0)</f>
        <v>0</v>
      </c>
      <c r="AL62" s="128" t="s">
        <v>2569</v>
      </c>
      <c r="AM62" s="128" t="s">
        <v>2463</v>
      </c>
      <c r="AN62" s="128" t="s">
        <v>2509</v>
      </c>
      <c r="AO62" s="40">
        <v>0</v>
      </c>
      <c r="AP62" s="40">
        <v>0</v>
      </c>
      <c r="AQ62" s="40">
        <v>0</v>
      </c>
      <c r="AR62" s="40">
        <v>0</v>
      </c>
      <c r="AS62" s="174">
        <v>0</v>
      </c>
      <c r="AT62" s="174">
        <v>0</v>
      </c>
    </row>
    <row r="63" spans="1:46" s="23" customFormat="1" ht="12.75" customHeight="1" x14ac:dyDescent="0.2">
      <c r="A63" s="15"/>
      <c r="B63" s="126"/>
      <c r="C63" s="134"/>
      <c r="D63" s="134"/>
      <c r="E63" s="134"/>
      <c r="F63" s="98" t="s">
        <v>2456</v>
      </c>
      <c r="G63" s="98" t="s">
        <v>2390</v>
      </c>
      <c r="H63" s="98" t="s">
        <v>2423</v>
      </c>
      <c r="I63" s="98" t="s">
        <v>2236</v>
      </c>
      <c r="J63" s="93" t="s">
        <v>2258</v>
      </c>
      <c r="K63" s="77">
        <v>100</v>
      </c>
      <c r="L63" s="18">
        <v>100</v>
      </c>
      <c r="M63" s="16">
        <v>100</v>
      </c>
      <c r="N63" s="18">
        <v>100</v>
      </c>
      <c r="O63" s="18">
        <v>100</v>
      </c>
      <c r="P63" s="18">
        <v>100</v>
      </c>
      <c r="Q63" s="18">
        <v>75</v>
      </c>
      <c r="R63" s="18">
        <v>100</v>
      </c>
      <c r="S63" s="18">
        <v>0</v>
      </c>
      <c r="T63" s="18">
        <v>100</v>
      </c>
      <c r="U63" s="18">
        <v>0</v>
      </c>
      <c r="V63" s="19">
        <f>+AVERAGE(M63,O63,Q63,0,0)</f>
        <v>55</v>
      </c>
      <c r="W63" s="35">
        <f>+V63/K63</f>
        <v>0.55000000000000004</v>
      </c>
      <c r="X63" s="129">
        <v>25</v>
      </c>
      <c r="Y63" s="129"/>
      <c r="Z63" s="129"/>
      <c r="AA63" s="166">
        <v>25</v>
      </c>
      <c r="AB63" s="166"/>
      <c r="AC63" s="166"/>
      <c r="AD63" s="166">
        <v>25</v>
      </c>
      <c r="AE63" s="166"/>
      <c r="AF63" s="166"/>
      <c r="AG63" s="166">
        <v>0</v>
      </c>
      <c r="AH63" s="166"/>
      <c r="AI63" s="166"/>
      <c r="AJ63" s="101">
        <f>+X63+AA63+AD63+AG63</f>
        <v>75</v>
      </c>
      <c r="AK63" s="22">
        <f>AJ63/P63</f>
        <v>0.75</v>
      </c>
      <c r="AL63" s="128"/>
      <c r="AM63" s="128"/>
      <c r="AN63" s="128"/>
      <c r="AO63" s="40">
        <v>0</v>
      </c>
      <c r="AP63" s="40">
        <v>0</v>
      </c>
      <c r="AQ63" s="90">
        <v>171233460</v>
      </c>
      <c r="AR63" s="90">
        <v>171233460</v>
      </c>
      <c r="AS63" s="174">
        <v>25206187917</v>
      </c>
      <c r="AT63" s="174">
        <v>206187029</v>
      </c>
    </row>
    <row r="64" spans="1:46" s="23" customFormat="1" ht="12.75" customHeight="1" x14ac:dyDescent="0.2">
      <c r="A64" s="15"/>
      <c r="B64" s="126"/>
      <c r="C64" s="98" t="s">
        <v>2272</v>
      </c>
      <c r="D64" s="98" t="s">
        <v>2427</v>
      </c>
      <c r="E64" s="98" t="s">
        <v>2431</v>
      </c>
      <c r="F64" s="94" t="s">
        <v>2434</v>
      </c>
      <c r="G64" s="98" t="s">
        <v>2430</v>
      </c>
      <c r="H64" s="98" t="s">
        <v>2432</v>
      </c>
      <c r="I64" s="98" t="s">
        <v>2389</v>
      </c>
      <c r="J64" s="93" t="s">
        <v>2259</v>
      </c>
      <c r="K64" s="75">
        <f>100</f>
        <v>100</v>
      </c>
      <c r="L64" s="18">
        <v>0</v>
      </c>
      <c r="M64" s="16">
        <v>0</v>
      </c>
      <c r="N64" s="18">
        <v>23</v>
      </c>
      <c r="O64" s="18">
        <v>23</v>
      </c>
      <c r="P64" s="18">
        <v>79</v>
      </c>
      <c r="Q64" s="18">
        <v>47.87</v>
      </c>
      <c r="R64" s="18">
        <v>100</v>
      </c>
      <c r="S64" s="18">
        <v>0</v>
      </c>
      <c r="T64" s="18">
        <v>0</v>
      </c>
      <c r="U64" s="18">
        <v>0</v>
      </c>
      <c r="V64" s="30">
        <f>+Q64</f>
        <v>47.87</v>
      </c>
      <c r="W64" s="20">
        <f>+Q64/K64</f>
        <v>0.47869999999999996</v>
      </c>
      <c r="X64" s="129">
        <v>30.49</v>
      </c>
      <c r="Y64" s="129"/>
      <c r="Z64" s="129"/>
      <c r="AA64" s="122">
        <v>44.38</v>
      </c>
      <c r="AB64" s="122"/>
      <c r="AC64" s="122"/>
      <c r="AD64" s="122">
        <v>47.87</v>
      </c>
      <c r="AE64" s="122"/>
      <c r="AF64" s="122"/>
      <c r="AG64" s="123">
        <v>0</v>
      </c>
      <c r="AH64" s="123"/>
      <c r="AI64" s="123"/>
      <c r="AJ64" s="101">
        <f>MAX(X64:AI64)</f>
        <v>47.87</v>
      </c>
      <c r="AK64" s="22">
        <f>+AJ64/P64</f>
        <v>0.60594936708860758</v>
      </c>
      <c r="AL64" s="93" t="s">
        <v>2583</v>
      </c>
      <c r="AM64" s="93" t="s">
        <v>2584</v>
      </c>
      <c r="AN64" s="94"/>
      <c r="AO64" s="92">
        <v>0</v>
      </c>
      <c r="AP64" s="92">
        <v>0</v>
      </c>
      <c r="AQ64" s="91">
        <v>45320000000</v>
      </c>
      <c r="AR64" s="91">
        <v>45075216945</v>
      </c>
      <c r="AS64" s="174">
        <v>76259396634</v>
      </c>
      <c r="AT64" s="174">
        <v>74692769925</v>
      </c>
    </row>
    <row r="65" spans="1:49" s="23" customFormat="1" ht="12.75" customHeight="1" x14ac:dyDescent="0.2">
      <c r="A65" s="15"/>
      <c r="B65" s="126"/>
      <c r="C65" s="98" t="s">
        <v>2272</v>
      </c>
      <c r="D65" s="98" t="s">
        <v>2427</v>
      </c>
      <c r="E65" s="98" t="s">
        <v>2431</v>
      </c>
      <c r="F65" s="94" t="s">
        <v>2435</v>
      </c>
      <c r="G65" s="98" t="s">
        <v>2460</v>
      </c>
      <c r="H65" s="98" t="s">
        <v>2433</v>
      </c>
      <c r="I65" s="98" t="s">
        <v>2389</v>
      </c>
      <c r="J65" s="93" t="s">
        <v>2259</v>
      </c>
      <c r="K65" s="75">
        <v>60</v>
      </c>
      <c r="L65" s="18">
        <v>20.28</v>
      </c>
      <c r="M65" s="16">
        <v>19.91</v>
      </c>
      <c r="N65" s="18">
        <v>23.69</v>
      </c>
      <c r="O65" s="18">
        <v>23.69</v>
      </c>
      <c r="P65" s="18">
        <v>33.729999999999997</v>
      </c>
      <c r="Q65" s="18">
        <v>30.76</v>
      </c>
      <c r="R65" s="18">
        <v>40.08</v>
      </c>
      <c r="S65" s="18">
        <v>0</v>
      </c>
      <c r="T65" s="18">
        <v>60</v>
      </c>
      <c r="U65" s="18">
        <v>0</v>
      </c>
      <c r="V65" s="37">
        <f>+Q65</f>
        <v>30.76</v>
      </c>
      <c r="W65" s="20">
        <f>+(V65-19.44)/(60-19.44)</f>
        <v>0.27909270216962523</v>
      </c>
      <c r="X65" s="129">
        <v>26.46</v>
      </c>
      <c r="Y65" s="129"/>
      <c r="Z65" s="129"/>
      <c r="AA65" s="122">
        <v>28.81</v>
      </c>
      <c r="AB65" s="122"/>
      <c r="AC65" s="122"/>
      <c r="AD65" s="122">
        <v>30.76</v>
      </c>
      <c r="AE65" s="122"/>
      <c r="AF65" s="122"/>
      <c r="AG65" s="123">
        <v>0</v>
      </c>
      <c r="AH65" s="123"/>
      <c r="AI65" s="123"/>
      <c r="AJ65" s="101">
        <f>+AD65</f>
        <v>30.76</v>
      </c>
      <c r="AK65" s="22">
        <f>+(AJ65-23.69)/(33.73-23.69)</f>
        <v>0.70418326693227129</v>
      </c>
      <c r="AL65" s="93" t="s">
        <v>2586</v>
      </c>
      <c r="AM65" s="93" t="s">
        <v>2584</v>
      </c>
      <c r="AN65" s="94" t="s">
        <v>2585</v>
      </c>
      <c r="AO65" s="92">
        <v>432945</v>
      </c>
      <c r="AP65" s="92">
        <v>171196</v>
      </c>
      <c r="AQ65" s="91">
        <v>614939636004</v>
      </c>
      <c r="AR65" s="91">
        <v>609107500080</v>
      </c>
      <c r="AS65" s="174">
        <v>1137598884173</v>
      </c>
      <c r="AT65" s="174">
        <v>1033841898259</v>
      </c>
    </row>
    <row r="66" spans="1:49" s="23" customFormat="1" ht="12.75" customHeight="1" x14ac:dyDescent="0.2">
      <c r="A66" s="15"/>
      <c r="B66" s="126"/>
      <c r="C66" s="98" t="s">
        <v>2271</v>
      </c>
      <c r="D66" s="98" t="s">
        <v>2428</v>
      </c>
      <c r="E66" s="98" t="s">
        <v>2396</v>
      </c>
      <c r="F66" s="98" t="s">
        <v>2397</v>
      </c>
      <c r="G66" s="98" t="s">
        <v>2398</v>
      </c>
      <c r="H66" s="98" t="s">
        <v>2399</v>
      </c>
      <c r="I66" s="98" t="s">
        <v>2235</v>
      </c>
      <c r="J66" s="93" t="s">
        <v>2259</v>
      </c>
      <c r="K66" s="77">
        <v>4</v>
      </c>
      <c r="L66" s="18">
        <v>0</v>
      </c>
      <c r="M66" s="16">
        <v>0</v>
      </c>
      <c r="N66" s="18">
        <v>3</v>
      </c>
      <c r="O66" s="18">
        <v>3</v>
      </c>
      <c r="P66" s="18">
        <v>4</v>
      </c>
      <c r="Q66" s="18">
        <v>4</v>
      </c>
      <c r="R66" s="18">
        <v>0</v>
      </c>
      <c r="S66" s="18">
        <v>0</v>
      </c>
      <c r="T66" s="18">
        <v>0</v>
      </c>
      <c r="U66" s="18">
        <v>0</v>
      </c>
      <c r="V66" s="37">
        <f>+M66+Q66</f>
        <v>4</v>
      </c>
      <c r="W66" s="36">
        <f>+(Q66-1)/(K66-1)</f>
        <v>1</v>
      </c>
      <c r="X66" s="129">
        <v>3</v>
      </c>
      <c r="Y66" s="129"/>
      <c r="Z66" s="129"/>
      <c r="AA66" s="123">
        <v>3</v>
      </c>
      <c r="AB66" s="123"/>
      <c r="AC66" s="123"/>
      <c r="AD66" s="123">
        <v>4</v>
      </c>
      <c r="AE66" s="123"/>
      <c r="AF66" s="123"/>
      <c r="AG66" s="123">
        <v>0</v>
      </c>
      <c r="AH66" s="123"/>
      <c r="AI66" s="123"/>
      <c r="AJ66" s="101">
        <f>MAX(AA66,X66,AD66,AG66)</f>
        <v>4</v>
      </c>
      <c r="AK66" s="28">
        <f>+AJ66/P66</f>
        <v>1</v>
      </c>
      <c r="AL66" s="93" t="s">
        <v>2516</v>
      </c>
      <c r="AM66" s="128" t="s">
        <v>2496</v>
      </c>
      <c r="AN66" s="128" t="s">
        <v>2518</v>
      </c>
      <c r="AO66" s="124">
        <v>1124</v>
      </c>
      <c r="AP66" s="124">
        <v>1124</v>
      </c>
      <c r="AQ66" s="160">
        <v>499884520</v>
      </c>
      <c r="AR66" s="160">
        <v>499884520</v>
      </c>
      <c r="AS66" s="179">
        <v>782650352</v>
      </c>
      <c r="AT66" s="179">
        <v>782645572</v>
      </c>
    </row>
    <row r="67" spans="1:49" s="23" customFormat="1" ht="12.75" customHeight="1" x14ac:dyDescent="0.2">
      <c r="A67" s="15"/>
      <c r="B67" s="126"/>
      <c r="C67" s="98" t="s">
        <v>2271</v>
      </c>
      <c r="D67" s="98" t="s">
        <v>2428</v>
      </c>
      <c r="E67" s="98" t="s">
        <v>2396</v>
      </c>
      <c r="F67" s="98" t="s">
        <v>2484</v>
      </c>
      <c r="G67" s="98" t="s">
        <v>2398</v>
      </c>
      <c r="H67" s="98" t="s">
        <v>2475</v>
      </c>
      <c r="I67" s="98" t="s">
        <v>2235</v>
      </c>
      <c r="J67" s="93" t="s">
        <v>2261</v>
      </c>
      <c r="K67" s="77">
        <v>100</v>
      </c>
      <c r="L67" s="18">
        <v>0</v>
      </c>
      <c r="M67" s="16">
        <v>0</v>
      </c>
      <c r="N67" s="18">
        <v>45</v>
      </c>
      <c r="O67" s="18">
        <v>45</v>
      </c>
      <c r="P67" s="18">
        <v>20</v>
      </c>
      <c r="Q67" s="18">
        <v>19.55</v>
      </c>
      <c r="R67" s="18">
        <v>35</v>
      </c>
      <c r="S67" s="18">
        <v>0</v>
      </c>
      <c r="T67" s="18">
        <v>0</v>
      </c>
      <c r="U67" s="18">
        <v>0</v>
      </c>
      <c r="V67" s="37">
        <f>+M67+O67</f>
        <v>45</v>
      </c>
      <c r="W67" s="35">
        <f>+O67/K67</f>
        <v>0.45</v>
      </c>
      <c r="X67" s="129">
        <v>8</v>
      </c>
      <c r="Y67" s="129"/>
      <c r="Z67" s="129"/>
      <c r="AA67" s="122">
        <v>6.85</v>
      </c>
      <c r="AB67" s="122"/>
      <c r="AC67" s="122"/>
      <c r="AD67" s="122">
        <v>19.55</v>
      </c>
      <c r="AE67" s="122"/>
      <c r="AF67" s="122"/>
      <c r="AG67" s="123">
        <v>0</v>
      </c>
      <c r="AH67" s="123"/>
      <c r="AI67" s="123"/>
      <c r="AJ67" s="101">
        <f>+AD67</f>
        <v>19.55</v>
      </c>
      <c r="AK67" s="34">
        <f>+AJ67/P67</f>
        <v>0.97750000000000004</v>
      </c>
      <c r="AL67" s="93" t="s">
        <v>2517</v>
      </c>
      <c r="AM67" s="128"/>
      <c r="AN67" s="128"/>
      <c r="AO67" s="124"/>
      <c r="AP67" s="124"/>
      <c r="AQ67" s="160"/>
      <c r="AR67" s="160"/>
      <c r="AS67" s="179"/>
      <c r="AT67" s="179"/>
      <c r="AU67" s="43"/>
      <c r="AV67" s="44"/>
      <c r="AW67" s="45"/>
    </row>
    <row r="68" spans="1:49" s="23" customFormat="1" ht="12.75" customHeight="1" x14ac:dyDescent="0.2">
      <c r="A68" s="15"/>
      <c r="B68" s="126"/>
      <c r="C68" s="171" t="s">
        <v>2437</v>
      </c>
      <c r="D68" s="98" t="s">
        <v>2428</v>
      </c>
      <c r="E68" s="98" t="s">
        <v>2396</v>
      </c>
      <c r="F68" s="98" t="s">
        <v>2467</v>
      </c>
      <c r="G68" s="98" t="s">
        <v>2466</v>
      </c>
      <c r="H68" s="98" t="s">
        <v>2458</v>
      </c>
      <c r="I68" s="98" t="s">
        <v>2235</v>
      </c>
      <c r="J68" s="98" t="s">
        <v>2260</v>
      </c>
      <c r="K68" s="77">
        <v>15</v>
      </c>
      <c r="L68" s="18">
        <v>26</v>
      </c>
      <c r="M68" s="16">
        <v>26</v>
      </c>
      <c r="N68" s="18">
        <v>25</v>
      </c>
      <c r="O68" s="18">
        <v>26</v>
      </c>
      <c r="P68" s="18">
        <v>23</v>
      </c>
      <c r="Q68" s="18">
        <v>26</v>
      </c>
      <c r="R68" s="18">
        <v>20</v>
      </c>
      <c r="S68" s="18">
        <v>0</v>
      </c>
      <c r="T68" s="18">
        <v>15</v>
      </c>
      <c r="U68" s="18">
        <v>0</v>
      </c>
      <c r="V68" s="37">
        <v>0</v>
      </c>
      <c r="W68" s="20">
        <v>0</v>
      </c>
      <c r="X68" s="129">
        <v>26</v>
      </c>
      <c r="Y68" s="129"/>
      <c r="Z68" s="129"/>
      <c r="AA68" s="166">
        <v>26</v>
      </c>
      <c r="AB68" s="166"/>
      <c r="AC68" s="166"/>
      <c r="AD68" s="166">
        <v>26</v>
      </c>
      <c r="AE68" s="166"/>
      <c r="AF68" s="166"/>
      <c r="AG68" s="166">
        <v>0</v>
      </c>
      <c r="AH68" s="166"/>
      <c r="AI68" s="166"/>
      <c r="AJ68" s="99">
        <f>+AD68</f>
        <v>26</v>
      </c>
      <c r="AK68" s="34">
        <v>0</v>
      </c>
      <c r="AL68" s="128" t="s">
        <v>2581</v>
      </c>
      <c r="AM68" s="128" t="s">
        <v>2508</v>
      </c>
      <c r="AN68" s="128" t="s">
        <v>2582</v>
      </c>
      <c r="AO68" s="169">
        <v>2850</v>
      </c>
      <c r="AP68" s="169">
        <v>2850</v>
      </c>
      <c r="AQ68" s="160">
        <v>4342833460</v>
      </c>
      <c r="AR68" s="160">
        <v>4335522833</v>
      </c>
      <c r="AS68" s="179">
        <v>2929177648</v>
      </c>
      <c r="AT68" s="179">
        <v>1954162250</v>
      </c>
    </row>
    <row r="69" spans="1:49" s="23" customFormat="1" ht="12.75" customHeight="1" x14ac:dyDescent="0.2">
      <c r="A69" s="15"/>
      <c r="B69" s="126"/>
      <c r="C69" s="171"/>
      <c r="D69" s="98" t="s">
        <v>2428</v>
      </c>
      <c r="E69" s="98" t="s">
        <v>2396</v>
      </c>
      <c r="F69" s="98" t="s">
        <v>2457</v>
      </c>
      <c r="G69" s="98" t="s">
        <v>2466</v>
      </c>
      <c r="H69" s="98" t="s">
        <v>2459</v>
      </c>
      <c r="I69" s="98" t="s">
        <v>2235</v>
      </c>
      <c r="J69" s="93" t="s">
        <v>2260</v>
      </c>
      <c r="K69" s="77">
        <v>15</v>
      </c>
      <c r="L69" s="18">
        <v>24</v>
      </c>
      <c r="M69" s="16">
        <v>24</v>
      </c>
      <c r="N69" s="18">
        <v>23.5</v>
      </c>
      <c r="O69" s="18">
        <v>24</v>
      </c>
      <c r="P69" s="18">
        <v>23</v>
      </c>
      <c r="Q69" s="18">
        <v>24</v>
      </c>
      <c r="R69" s="18">
        <v>20</v>
      </c>
      <c r="S69" s="18">
        <v>0</v>
      </c>
      <c r="T69" s="18">
        <v>15</v>
      </c>
      <c r="U69" s="18">
        <v>0</v>
      </c>
      <c r="V69" s="37">
        <v>0</v>
      </c>
      <c r="W69" s="20">
        <v>0</v>
      </c>
      <c r="X69" s="129">
        <v>24</v>
      </c>
      <c r="Y69" s="129"/>
      <c r="Z69" s="129"/>
      <c r="AA69" s="166">
        <v>24</v>
      </c>
      <c r="AB69" s="166"/>
      <c r="AC69" s="166"/>
      <c r="AD69" s="166">
        <v>24</v>
      </c>
      <c r="AE69" s="166"/>
      <c r="AF69" s="166"/>
      <c r="AG69" s="166">
        <v>0</v>
      </c>
      <c r="AH69" s="166"/>
      <c r="AI69" s="166"/>
      <c r="AJ69" s="99">
        <f>+AD69</f>
        <v>24</v>
      </c>
      <c r="AK69" s="34">
        <v>0</v>
      </c>
      <c r="AL69" s="128"/>
      <c r="AM69" s="128"/>
      <c r="AN69" s="128"/>
      <c r="AO69" s="169"/>
      <c r="AP69" s="169"/>
      <c r="AQ69" s="160"/>
      <c r="AR69" s="160"/>
      <c r="AS69" s="179"/>
      <c r="AT69" s="179"/>
    </row>
    <row r="70" spans="1:49" s="23" customFormat="1" ht="12.75" customHeight="1" x14ac:dyDescent="0.2">
      <c r="A70" s="15"/>
      <c r="B70" s="126"/>
      <c r="C70" s="98" t="s">
        <v>2394</v>
      </c>
      <c r="D70" s="98" t="s">
        <v>2429</v>
      </c>
      <c r="E70" s="98" t="s">
        <v>2401</v>
      </c>
      <c r="F70" s="98" t="s">
        <v>2400</v>
      </c>
      <c r="G70" s="98" t="s">
        <v>2404</v>
      </c>
      <c r="H70" s="98" t="s">
        <v>2402</v>
      </c>
      <c r="I70" s="98" t="s">
        <v>2235</v>
      </c>
      <c r="J70" s="93" t="s">
        <v>2259</v>
      </c>
      <c r="K70" s="75">
        <v>1320551</v>
      </c>
      <c r="L70" s="18">
        <v>880367</v>
      </c>
      <c r="M70" s="40">
        <v>880367</v>
      </c>
      <c r="N70" s="18">
        <v>880368</v>
      </c>
      <c r="O70" s="18">
        <v>880367</v>
      </c>
      <c r="P70" s="18">
        <v>880368</v>
      </c>
      <c r="Q70" s="18">
        <v>880367</v>
      </c>
      <c r="R70" s="18">
        <v>1320551</v>
      </c>
      <c r="S70" s="18">
        <v>0</v>
      </c>
      <c r="T70" s="18">
        <v>1320551</v>
      </c>
      <c r="U70" s="18">
        <v>0</v>
      </c>
      <c r="V70" s="30">
        <f>+O70</f>
        <v>880367</v>
      </c>
      <c r="W70" s="20">
        <f>+V70/K70</f>
        <v>0.6666664142467803</v>
      </c>
      <c r="X70" s="129">
        <v>880367</v>
      </c>
      <c r="Y70" s="129"/>
      <c r="Z70" s="129"/>
      <c r="AA70" s="123">
        <v>880367</v>
      </c>
      <c r="AB70" s="123"/>
      <c r="AC70" s="123"/>
      <c r="AD70" s="123">
        <v>880367</v>
      </c>
      <c r="AE70" s="123"/>
      <c r="AF70" s="123"/>
      <c r="AG70" s="123">
        <v>0</v>
      </c>
      <c r="AH70" s="123"/>
      <c r="AI70" s="123"/>
      <c r="AJ70" s="99">
        <f>MAX(X70,AA70,AD70,AG70)</f>
        <v>880367</v>
      </c>
      <c r="AK70" s="34">
        <f>+AJ70/N70</f>
        <v>0.99999886411137162</v>
      </c>
      <c r="AL70" s="180" t="s">
        <v>2519</v>
      </c>
      <c r="AM70" s="177" t="s">
        <v>2497</v>
      </c>
      <c r="AN70" s="177" t="s">
        <v>2520</v>
      </c>
      <c r="AO70" s="92">
        <v>418</v>
      </c>
      <c r="AP70" s="92">
        <v>418</v>
      </c>
      <c r="AQ70" s="90">
        <v>3171724313</v>
      </c>
      <c r="AR70" s="90">
        <v>3171724313</v>
      </c>
      <c r="AS70" s="174">
        <v>4379305420</v>
      </c>
      <c r="AT70" s="174">
        <v>2168205059</v>
      </c>
    </row>
    <row r="71" spans="1:49" s="23" customFormat="1" ht="12.75" customHeight="1" x14ac:dyDescent="0.2">
      <c r="A71" s="15"/>
      <c r="B71" s="126"/>
      <c r="C71" s="134" t="s">
        <v>2438</v>
      </c>
      <c r="D71" s="134" t="s">
        <v>2429</v>
      </c>
      <c r="E71" s="134" t="s">
        <v>2401</v>
      </c>
      <c r="F71" s="98" t="s">
        <v>2403</v>
      </c>
      <c r="G71" s="98" t="s">
        <v>2461</v>
      </c>
      <c r="H71" s="98" t="s">
        <v>2405</v>
      </c>
      <c r="I71" s="98" t="s">
        <v>2235</v>
      </c>
      <c r="J71" s="93" t="s">
        <v>2259</v>
      </c>
      <c r="K71" s="77">
        <v>6500</v>
      </c>
      <c r="L71" s="18">
        <v>2400</v>
      </c>
      <c r="M71" s="16">
        <v>3586</v>
      </c>
      <c r="N71" s="18">
        <v>4894</v>
      </c>
      <c r="O71" s="18">
        <v>4894</v>
      </c>
      <c r="P71" s="18">
        <v>5500</v>
      </c>
      <c r="Q71" s="18">
        <v>6634</v>
      </c>
      <c r="R71" s="18">
        <v>5900</v>
      </c>
      <c r="S71" s="18">
        <v>0</v>
      </c>
      <c r="T71" s="18">
        <v>6500</v>
      </c>
      <c r="U71" s="18">
        <v>0</v>
      </c>
      <c r="V71" s="37">
        <f>+Q71</f>
        <v>6634</v>
      </c>
      <c r="W71" s="20">
        <f>+(Q71-2112)/(6500-2112)</f>
        <v>1.0305378304466728</v>
      </c>
      <c r="X71" s="129">
        <v>5463</v>
      </c>
      <c r="Y71" s="129"/>
      <c r="Z71" s="129"/>
      <c r="AA71" s="123">
        <v>6015</v>
      </c>
      <c r="AB71" s="123"/>
      <c r="AC71" s="123"/>
      <c r="AD71" s="123">
        <v>6634</v>
      </c>
      <c r="AE71" s="123"/>
      <c r="AF71" s="123"/>
      <c r="AG71" s="123">
        <v>0</v>
      </c>
      <c r="AH71" s="123"/>
      <c r="AI71" s="123"/>
      <c r="AJ71" s="46">
        <f>AD71</f>
        <v>6634</v>
      </c>
      <c r="AK71" s="34">
        <f>+(AD71-P71)/(P71-O71)</f>
        <v>1.8712871287128714</v>
      </c>
      <c r="AL71" s="181" t="s">
        <v>2587</v>
      </c>
      <c r="AM71" s="182" t="s">
        <v>2497</v>
      </c>
      <c r="AN71" s="181" t="s">
        <v>2514</v>
      </c>
      <c r="AO71" s="124">
        <v>45</v>
      </c>
      <c r="AP71" s="124">
        <v>45</v>
      </c>
      <c r="AQ71" s="159">
        <v>196086823</v>
      </c>
      <c r="AR71" s="159">
        <v>196086823</v>
      </c>
      <c r="AS71" s="179">
        <v>165276227</v>
      </c>
      <c r="AT71" s="179">
        <v>165276227</v>
      </c>
    </row>
    <row r="72" spans="1:49" s="23" customFormat="1" ht="12.75" customHeight="1" x14ac:dyDescent="0.2">
      <c r="A72" s="15"/>
      <c r="B72" s="126"/>
      <c r="C72" s="134"/>
      <c r="D72" s="134"/>
      <c r="E72" s="134"/>
      <c r="F72" s="98" t="s">
        <v>2468</v>
      </c>
      <c r="G72" s="98" t="s">
        <v>2461</v>
      </c>
      <c r="H72" s="98" t="s">
        <v>2464</v>
      </c>
      <c r="I72" s="98" t="s">
        <v>2235</v>
      </c>
      <c r="J72" s="93" t="s">
        <v>2261</v>
      </c>
      <c r="K72" s="77">
        <v>20</v>
      </c>
      <c r="L72" s="18">
        <v>0</v>
      </c>
      <c r="M72" s="16">
        <v>0</v>
      </c>
      <c r="N72" s="18">
        <v>4</v>
      </c>
      <c r="O72" s="18">
        <v>4</v>
      </c>
      <c r="P72" s="18">
        <v>0</v>
      </c>
      <c r="Q72" s="18">
        <v>0</v>
      </c>
      <c r="R72" s="18">
        <v>16</v>
      </c>
      <c r="S72" s="18">
        <v>0</v>
      </c>
      <c r="T72" s="18"/>
      <c r="U72" s="18">
        <v>0</v>
      </c>
      <c r="V72" s="37">
        <f>N72+Q72+S72+U72</f>
        <v>4</v>
      </c>
      <c r="W72" s="20">
        <f>V72/K72</f>
        <v>0.2</v>
      </c>
      <c r="X72" s="123">
        <v>0</v>
      </c>
      <c r="Y72" s="123"/>
      <c r="Z72" s="123"/>
      <c r="AA72" s="123">
        <v>0</v>
      </c>
      <c r="AB72" s="123"/>
      <c r="AC72" s="123"/>
      <c r="AD72" s="123">
        <v>0</v>
      </c>
      <c r="AE72" s="123"/>
      <c r="AF72" s="123"/>
      <c r="AG72" s="123">
        <v>0</v>
      </c>
      <c r="AH72" s="123"/>
      <c r="AI72" s="123"/>
      <c r="AJ72" s="24">
        <v>0</v>
      </c>
      <c r="AK72" s="24">
        <v>0</v>
      </c>
      <c r="AL72" s="181"/>
      <c r="AM72" s="182"/>
      <c r="AN72" s="181"/>
      <c r="AO72" s="124"/>
      <c r="AP72" s="124"/>
      <c r="AQ72" s="159"/>
      <c r="AR72" s="159"/>
      <c r="AS72" s="179"/>
      <c r="AT72" s="179"/>
    </row>
    <row r="73" spans="1:49" s="23" customFormat="1" ht="12.75" customHeight="1" x14ac:dyDescent="0.2">
      <c r="A73" s="15"/>
      <c r="B73" s="126"/>
      <c r="C73" s="98" t="s">
        <v>2394</v>
      </c>
      <c r="D73" s="98" t="s">
        <v>2429</v>
      </c>
      <c r="E73" s="98" t="s">
        <v>2401</v>
      </c>
      <c r="F73" s="98" t="s">
        <v>2406</v>
      </c>
      <c r="G73" s="98" t="s">
        <v>2407</v>
      </c>
      <c r="H73" s="98" t="s">
        <v>2408</v>
      </c>
      <c r="I73" s="98" t="s">
        <v>2235</v>
      </c>
      <c r="J73" s="93" t="s">
        <v>2261</v>
      </c>
      <c r="K73" s="77">
        <v>100</v>
      </c>
      <c r="L73" s="18">
        <v>5</v>
      </c>
      <c r="M73" s="16">
        <v>5</v>
      </c>
      <c r="N73" s="18">
        <v>30</v>
      </c>
      <c r="O73" s="18">
        <v>30</v>
      </c>
      <c r="P73" s="18">
        <v>30</v>
      </c>
      <c r="Q73" s="18">
        <v>26.25</v>
      </c>
      <c r="R73" s="18">
        <v>30</v>
      </c>
      <c r="S73" s="18">
        <v>0</v>
      </c>
      <c r="T73" s="18">
        <v>5</v>
      </c>
      <c r="U73" s="18">
        <v>0</v>
      </c>
      <c r="V73" s="37">
        <f>M73+O73+Q73</f>
        <v>61.25</v>
      </c>
      <c r="W73" s="35">
        <f>+V73/K73</f>
        <v>0.61250000000000004</v>
      </c>
      <c r="X73" s="129">
        <v>18.75</v>
      </c>
      <c r="Y73" s="129"/>
      <c r="Z73" s="129"/>
      <c r="AA73" s="122">
        <v>26.25</v>
      </c>
      <c r="AB73" s="122"/>
      <c r="AC73" s="122"/>
      <c r="AD73" s="122">
        <v>26.25</v>
      </c>
      <c r="AE73" s="122"/>
      <c r="AF73" s="122"/>
      <c r="AG73" s="123">
        <v>0</v>
      </c>
      <c r="AH73" s="123"/>
      <c r="AI73" s="123"/>
      <c r="AJ73" s="99">
        <f>AA73</f>
        <v>26.25</v>
      </c>
      <c r="AK73" s="34">
        <f>+AJ73/N73</f>
        <v>0.875</v>
      </c>
      <c r="AL73" s="94" t="s">
        <v>2522</v>
      </c>
      <c r="AM73" s="94" t="s">
        <v>2523</v>
      </c>
      <c r="AN73" s="94" t="s">
        <v>2524</v>
      </c>
      <c r="AO73" s="92">
        <v>68</v>
      </c>
      <c r="AP73" s="92">
        <v>68</v>
      </c>
      <c r="AQ73" s="90">
        <v>332917056</v>
      </c>
      <c r="AR73" s="90">
        <v>332917056</v>
      </c>
      <c r="AS73" s="174">
        <v>353177953</v>
      </c>
      <c r="AT73" s="174">
        <v>345498313</v>
      </c>
    </row>
    <row r="74" spans="1:49" s="23" customFormat="1" ht="12.75" customHeight="1" x14ac:dyDescent="0.2">
      <c r="A74" s="15"/>
      <c r="B74" s="126"/>
      <c r="C74" s="98" t="s">
        <v>2439</v>
      </c>
      <c r="D74" s="98" t="s">
        <v>2429</v>
      </c>
      <c r="E74" s="98" t="s">
        <v>2401</v>
      </c>
      <c r="F74" s="98" t="s">
        <v>2486</v>
      </c>
      <c r="G74" s="98" t="s">
        <v>2409</v>
      </c>
      <c r="H74" s="98" t="s">
        <v>2469</v>
      </c>
      <c r="I74" s="98" t="s">
        <v>2440</v>
      </c>
      <c r="J74" s="93" t="s">
        <v>2260</v>
      </c>
      <c r="K74" s="77">
        <v>33.9</v>
      </c>
      <c r="L74" s="18">
        <v>0</v>
      </c>
      <c r="M74" s="16">
        <v>0</v>
      </c>
      <c r="N74" s="18">
        <v>37.799999999999997</v>
      </c>
      <c r="O74" s="18">
        <v>35.4</v>
      </c>
      <c r="P74" s="18">
        <v>36.9</v>
      </c>
      <c r="Q74" s="18">
        <v>37.700000000000003</v>
      </c>
      <c r="R74" s="18">
        <v>34.700000000000003</v>
      </c>
      <c r="S74" s="18">
        <v>0</v>
      </c>
      <c r="T74" s="18">
        <v>33.9</v>
      </c>
      <c r="U74" s="18">
        <v>0</v>
      </c>
      <c r="V74" s="47">
        <f>Q74</f>
        <v>37.700000000000003</v>
      </c>
      <c r="W74" s="20">
        <f>(38.3-Q74)/(38.3-T74)</f>
        <v>0.1363636363636351</v>
      </c>
      <c r="X74" s="132">
        <v>35.6</v>
      </c>
      <c r="Y74" s="132"/>
      <c r="Z74" s="132"/>
      <c r="AA74" s="132">
        <v>36.6</v>
      </c>
      <c r="AB74" s="132"/>
      <c r="AC74" s="132"/>
      <c r="AD74" s="132">
        <v>36.9</v>
      </c>
      <c r="AE74" s="132"/>
      <c r="AF74" s="132"/>
      <c r="AG74" s="123">
        <v>0</v>
      </c>
      <c r="AH74" s="123"/>
      <c r="AI74" s="123"/>
      <c r="AJ74" s="48">
        <f>AD74</f>
        <v>36.9</v>
      </c>
      <c r="AK74" s="28">
        <v>0</v>
      </c>
      <c r="AL74" s="133" t="s">
        <v>2525</v>
      </c>
      <c r="AM74" s="133" t="s">
        <v>2497</v>
      </c>
      <c r="AN74" s="133" t="s">
        <v>2526</v>
      </c>
      <c r="AO74" s="124">
        <v>127</v>
      </c>
      <c r="AP74" s="124">
        <v>127</v>
      </c>
      <c r="AQ74" s="160">
        <v>1003321599</v>
      </c>
      <c r="AR74" s="160">
        <v>1003321599</v>
      </c>
      <c r="AS74" s="179">
        <v>4799312025</v>
      </c>
      <c r="AT74" s="179">
        <v>805313570</v>
      </c>
    </row>
    <row r="75" spans="1:49" s="23" customFormat="1" ht="12.75" customHeight="1" x14ac:dyDescent="0.2">
      <c r="A75" s="15"/>
      <c r="B75" s="126"/>
      <c r="C75" s="98" t="s">
        <v>2439</v>
      </c>
      <c r="D75" s="98" t="s">
        <v>2429</v>
      </c>
      <c r="E75" s="98" t="s">
        <v>2401</v>
      </c>
      <c r="F75" s="98" t="s">
        <v>2485</v>
      </c>
      <c r="G75" s="98" t="s">
        <v>2409</v>
      </c>
      <c r="H75" s="98" t="s">
        <v>2470</v>
      </c>
      <c r="I75" s="98" t="s">
        <v>2440</v>
      </c>
      <c r="J75" s="93" t="s">
        <v>2260</v>
      </c>
      <c r="K75" s="75">
        <v>17.3</v>
      </c>
      <c r="L75" s="18">
        <v>0</v>
      </c>
      <c r="M75" s="16">
        <v>0</v>
      </c>
      <c r="N75" s="18">
        <v>19.5</v>
      </c>
      <c r="O75" s="18">
        <v>18.3</v>
      </c>
      <c r="P75" s="18">
        <v>19</v>
      </c>
      <c r="Q75" s="18">
        <v>19.399999999999999</v>
      </c>
      <c r="R75" s="18">
        <v>17.8</v>
      </c>
      <c r="S75" s="18">
        <v>0</v>
      </c>
      <c r="T75" s="18">
        <v>17.3</v>
      </c>
      <c r="U75" s="18">
        <v>0</v>
      </c>
      <c r="V75" s="47">
        <f>Q75</f>
        <v>19.399999999999999</v>
      </c>
      <c r="W75" s="20">
        <f>(19.7-Q75)/(19.7-T75)</f>
        <v>0.12500000000000036</v>
      </c>
      <c r="X75" s="132">
        <v>18.5</v>
      </c>
      <c r="Y75" s="132"/>
      <c r="Z75" s="132"/>
      <c r="AA75" s="132">
        <v>18.8</v>
      </c>
      <c r="AB75" s="132"/>
      <c r="AC75" s="132"/>
      <c r="AD75" s="123">
        <v>19</v>
      </c>
      <c r="AE75" s="123"/>
      <c r="AF75" s="123"/>
      <c r="AG75" s="123">
        <v>0</v>
      </c>
      <c r="AH75" s="123"/>
      <c r="AI75" s="123"/>
      <c r="AJ75" s="48">
        <f>AD75</f>
        <v>19</v>
      </c>
      <c r="AK75" s="28">
        <v>0</v>
      </c>
      <c r="AL75" s="133"/>
      <c r="AM75" s="133"/>
      <c r="AN75" s="133"/>
      <c r="AO75" s="124"/>
      <c r="AP75" s="124"/>
      <c r="AQ75" s="160"/>
      <c r="AR75" s="160"/>
      <c r="AS75" s="179"/>
      <c r="AT75" s="179"/>
    </row>
    <row r="76" spans="1:49" s="23" customFormat="1" ht="12.75" customHeight="1" x14ac:dyDescent="0.2">
      <c r="A76" s="15"/>
      <c r="B76" s="126"/>
      <c r="C76" s="98" t="s">
        <v>2394</v>
      </c>
      <c r="D76" s="98" t="s">
        <v>2429</v>
      </c>
      <c r="E76" s="98" t="s">
        <v>2401</v>
      </c>
      <c r="F76" s="49" t="s">
        <v>2410</v>
      </c>
      <c r="G76" s="98" t="s">
        <v>2476</v>
      </c>
      <c r="H76" s="98" t="s">
        <v>2465</v>
      </c>
      <c r="I76" s="98" t="s">
        <v>2235</v>
      </c>
      <c r="J76" s="93" t="s">
        <v>2261</v>
      </c>
      <c r="K76" s="75">
        <f>+L76+N76+P76+R76+T76</f>
        <v>100</v>
      </c>
      <c r="L76" s="18">
        <v>0</v>
      </c>
      <c r="M76" s="16">
        <v>0</v>
      </c>
      <c r="N76" s="18">
        <v>35</v>
      </c>
      <c r="O76" s="18">
        <v>35</v>
      </c>
      <c r="P76" s="18">
        <v>35</v>
      </c>
      <c r="Q76" s="18">
        <v>30.62</v>
      </c>
      <c r="R76" s="18">
        <v>25</v>
      </c>
      <c r="S76" s="18">
        <v>0</v>
      </c>
      <c r="T76" s="18">
        <v>5</v>
      </c>
      <c r="U76" s="18">
        <v>0</v>
      </c>
      <c r="V76" s="30">
        <f>+Q76</f>
        <v>30.62</v>
      </c>
      <c r="W76" s="20">
        <f>Q76/K76</f>
        <v>0.30620000000000003</v>
      </c>
      <c r="X76" s="122">
        <v>21.88</v>
      </c>
      <c r="Y76" s="122"/>
      <c r="Z76" s="122"/>
      <c r="AA76" s="122">
        <v>26.25</v>
      </c>
      <c r="AB76" s="122"/>
      <c r="AC76" s="122"/>
      <c r="AD76" s="122">
        <v>30.62</v>
      </c>
      <c r="AE76" s="122"/>
      <c r="AF76" s="122"/>
      <c r="AG76" s="123">
        <v>0</v>
      </c>
      <c r="AH76" s="123"/>
      <c r="AI76" s="123"/>
      <c r="AJ76" s="99">
        <f>MAX(AD76,AG76,X76,AA76)</f>
        <v>30.62</v>
      </c>
      <c r="AK76" s="22">
        <f>AJ76/P76</f>
        <v>0.87485714285714289</v>
      </c>
      <c r="AL76" s="177" t="s">
        <v>2521</v>
      </c>
      <c r="AM76" s="177" t="s">
        <v>2497</v>
      </c>
      <c r="AN76" s="177" t="s">
        <v>2498</v>
      </c>
      <c r="AO76" s="92">
        <v>0</v>
      </c>
      <c r="AP76" s="92">
        <v>0</v>
      </c>
      <c r="AQ76" s="90">
        <v>6984356</v>
      </c>
      <c r="AR76" s="90">
        <v>6984356</v>
      </c>
      <c r="AS76" s="174">
        <v>372525000</v>
      </c>
      <c r="AT76" s="174">
        <v>372525000</v>
      </c>
    </row>
    <row r="77" spans="1:49" s="23" customFormat="1" ht="12.75" customHeight="1" x14ac:dyDescent="0.2">
      <c r="A77" s="15"/>
      <c r="B77" s="15"/>
      <c r="C77" s="50" t="s">
        <v>2275</v>
      </c>
      <c r="D77" s="50"/>
      <c r="E77" s="135" t="s">
        <v>2276</v>
      </c>
      <c r="F77" s="135"/>
      <c r="G77" s="135"/>
      <c r="H77" s="135"/>
      <c r="I77" s="145" t="s">
        <v>2277</v>
      </c>
      <c r="J77" s="145"/>
      <c r="K77" s="145"/>
      <c r="L77" s="141">
        <v>2020</v>
      </c>
      <c r="M77" s="141"/>
      <c r="N77" s="141">
        <v>2021</v>
      </c>
      <c r="O77" s="141"/>
      <c r="P77" s="141">
        <v>2022</v>
      </c>
      <c r="Q77" s="141"/>
      <c r="R77" s="141">
        <v>2023</v>
      </c>
      <c r="S77" s="141"/>
      <c r="T77" s="141">
        <v>2024</v>
      </c>
      <c r="U77" s="141"/>
      <c r="V77" s="50" t="s">
        <v>2240</v>
      </c>
      <c r="W77" s="51"/>
      <c r="X77" s="52"/>
      <c r="Y77" s="52"/>
      <c r="Z77" s="52"/>
      <c r="AA77" s="52"/>
      <c r="AB77" s="52"/>
      <c r="AC77" s="52"/>
      <c r="AD77" s="52"/>
      <c r="AE77" s="52"/>
      <c r="AF77" s="52"/>
      <c r="AG77" s="52"/>
      <c r="AH77" s="52"/>
      <c r="AI77" s="52"/>
      <c r="AJ77" s="9"/>
      <c r="AK77" s="53"/>
      <c r="AL77" s="79"/>
      <c r="AM77" s="79"/>
      <c r="AN77" s="79"/>
      <c r="AO77" s="54"/>
      <c r="AP77" s="54"/>
      <c r="AQ77" s="55"/>
      <c r="AR77" s="56"/>
      <c r="AS77" s="175"/>
      <c r="AT77" s="175"/>
    </row>
    <row r="78" spans="1:49" s="23" customFormat="1" ht="12.75" customHeight="1" x14ac:dyDescent="0.2">
      <c r="A78" s="15"/>
      <c r="B78" s="15"/>
      <c r="C78" s="29" t="s">
        <v>2278</v>
      </c>
      <c r="D78" s="29"/>
      <c r="E78" s="136" t="s">
        <v>2279</v>
      </c>
      <c r="F78" s="136"/>
      <c r="G78" s="136"/>
      <c r="H78" s="136"/>
      <c r="I78" s="133" t="s">
        <v>2236</v>
      </c>
      <c r="J78" s="133"/>
      <c r="K78" s="133"/>
      <c r="L78" s="137">
        <v>1.32</v>
      </c>
      <c r="M78" s="137"/>
      <c r="N78" s="140">
        <v>1.58</v>
      </c>
      <c r="O78" s="140"/>
      <c r="P78" s="138">
        <v>0</v>
      </c>
      <c r="Q78" s="138"/>
      <c r="R78" s="138"/>
      <c r="S78" s="138"/>
      <c r="T78" s="138">
        <v>0</v>
      </c>
      <c r="U78" s="138"/>
      <c r="V78" s="57">
        <f>AVERAGE(L78)</f>
        <v>1.32</v>
      </c>
      <c r="W78" s="58"/>
      <c r="X78" s="9"/>
      <c r="Y78" s="9"/>
      <c r="Z78" s="9"/>
      <c r="AA78" s="9"/>
      <c r="AB78" s="9"/>
      <c r="AC78" s="9"/>
      <c r="AD78" s="9"/>
      <c r="AE78" s="9"/>
      <c r="AF78" s="9"/>
      <c r="AG78" s="9"/>
      <c r="AH78" s="9"/>
      <c r="AI78" s="9"/>
      <c r="AJ78" s="9"/>
      <c r="AK78" s="9"/>
      <c r="AL78" s="79"/>
      <c r="AM78" s="79"/>
      <c r="AN78" s="79"/>
      <c r="AO78" s="59"/>
      <c r="AP78" s="59"/>
      <c r="AQ78" s="55"/>
      <c r="AR78" s="56"/>
      <c r="AS78" s="175"/>
      <c r="AT78" s="175"/>
    </row>
    <row r="79" spans="1:49" s="23" customFormat="1" ht="12.75" customHeight="1" x14ac:dyDescent="0.2">
      <c r="A79" s="15"/>
      <c r="B79" s="15"/>
      <c r="C79" s="29" t="s">
        <v>2280</v>
      </c>
      <c r="D79" s="29"/>
      <c r="E79" s="133" t="s">
        <v>2281</v>
      </c>
      <c r="F79" s="133"/>
      <c r="G79" s="133"/>
      <c r="H79" s="133"/>
      <c r="I79" s="133" t="s">
        <v>2236</v>
      </c>
      <c r="J79" s="133"/>
      <c r="K79" s="133"/>
      <c r="L79" s="137">
        <v>15.2</v>
      </c>
      <c r="M79" s="137"/>
      <c r="N79" s="138">
        <v>15.5</v>
      </c>
      <c r="O79" s="138"/>
      <c r="P79" s="138">
        <v>0</v>
      </c>
      <c r="Q79" s="138"/>
      <c r="R79" s="138"/>
      <c r="S79" s="138"/>
      <c r="T79" s="138">
        <v>0</v>
      </c>
      <c r="U79" s="138"/>
      <c r="V79" s="57">
        <f t="shared" ref="V79:V90" si="19">AVERAGE(L79)</f>
        <v>15.2</v>
      </c>
      <c r="W79" s="58"/>
      <c r="X79" s="9"/>
      <c r="Y79" s="9"/>
      <c r="Z79" s="9"/>
      <c r="AA79" s="9"/>
      <c r="AB79" s="9"/>
      <c r="AC79" s="9"/>
      <c r="AD79" s="9"/>
      <c r="AE79" s="9"/>
      <c r="AF79" s="9"/>
      <c r="AG79" s="9"/>
      <c r="AH79" s="9"/>
      <c r="AI79" s="9"/>
      <c r="AJ79" s="9"/>
      <c r="AK79" s="9"/>
      <c r="AL79" s="79"/>
      <c r="AM79" s="79"/>
      <c r="AN79" s="79"/>
      <c r="AO79" s="59"/>
      <c r="AP79" s="59"/>
      <c r="AQ79" s="55"/>
      <c r="AR79" s="56"/>
      <c r="AS79" s="175"/>
      <c r="AT79" s="175"/>
    </row>
    <row r="80" spans="1:49" s="23" customFormat="1" ht="12.75" customHeight="1" x14ac:dyDescent="0.2">
      <c r="A80" s="15"/>
      <c r="B80" s="15"/>
      <c r="C80" s="29" t="s">
        <v>2282</v>
      </c>
      <c r="D80" s="29"/>
      <c r="E80" s="133" t="s">
        <v>2283</v>
      </c>
      <c r="F80" s="133"/>
      <c r="G80" s="133"/>
      <c r="H80" s="133"/>
      <c r="I80" s="133" t="s">
        <v>2235</v>
      </c>
      <c r="J80" s="133"/>
      <c r="K80" s="133"/>
      <c r="L80" s="143">
        <v>0.63200000000000001</v>
      </c>
      <c r="M80" s="143"/>
      <c r="N80" s="139">
        <v>63.2</v>
      </c>
      <c r="O80" s="139"/>
      <c r="P80" s="138">
        <v>0</v>
      </c>
      <c r="Q80" s="138"/>
      <c r="R80" s="138"/>
      <c r="S80" s="138"/>
      <c r="T80" s="138">
        <v>0</v>
      </c>
      <c r="U80" s="138"/>
      <c r="V80" s="57">
        <f t="shared" si="19"/>
        <v>0.63200000000000001</v>
      </c>
      <c r="W80" s="58"/>
      <c r="X80" s="9"/>
      <c r="Y80" s="9"/>
      <c r="Z80" s="9"/>
      <c r="AA80" s="9"/>
      <c r="AB80" s="9"/>
      <c r="AC80" s="9"/>
      <c r="AD80" s="9"/>
      <c r="AE80" s="9"/>
      <c r="AF80" s="9"/>
      <c r="AG80" s="9"/>
      <c r="AH80" s="9"/>
      <c r="AI80" s="9"/>
      <c r="AJ80" s="9"/>
      <c r="AK80" s="9"/>
      <c r="AL80" s="79"/>
      <c r="AM80" s="79"/>
      <c r="AN80" s="79"/>
      <c r="AO80" s="59"/>
      <c r="AP80" s="59"/>
      <c r="AQ80" s="55"/>
      <c r="AR80" s="56"/>
      <c r="AS80" s="175"/>
      <c r="AT80" s="175"/>
    </row>
    <row r="81" spans="1:46" s="23" customFormat="1" ht="12.75" customHeight="1" x14ac:dyDescent="0.2">
      <c r="A81" s="15"/>
      <c r="B81" s="15"/>
      <c r="C81" s="29" t="s">
        <v>2284</v>
      </c>
      <c r="D81" s="29"/>
      <c r="E81" s="133" t="s">
        <v>2285</v>
      </c>
      <c r="F81" s="133"/>
      <c r="G81" s="133"/>
      <c r="H81" s="133"/>
      <c r="I81" s="133" t="s">
        <v>2286</v>
      </c>
      <c r="J81" s="133"/>
      <c r="K81" s="133"/>
      <c r="L81" s="137">
        <v>0.41670000000000001</v>
      </c>
      <c r="M81" s="137"/>
      <c r="N81" s="144">
        <v>0.19040000000000001</v>
      </c>
      <c r="O81" s="144"/>
      <c r="P81" s="138">
        <v>0</v>
      </c>
      <c r="Q81" s="138"/>
      <c r="R81" s="138"/>
      <c r="S81" s="138"/>
      <c r="T81" s="138">
        <v>0</v>
      </c>
      <c r="U81" s="138"/>
      <c r="V81" s="57">
        <f t="shared" si="19"/>
        <v>0.41670000000000001</v>
      </c>
      <c r="W81" s="58"/>
      <c r="X81" s="9"/>
      <c r="Y81" s="9"/>
      <c r="Z81" s="9"/>
      <c r="AA81" s="9"/>
      <c r="AB81" s="9"/>
      <c r="AC81" s="9"/>
      <c r="AD81" s="9"/>
      <c r="AE81" s="9"/>
      <c r="AF81" s="9"/>
      <c r="AG81" s="9"/>
      <c r="AH81" s="9"/>
      <c r="AI81" s="9"/>
      <c r="AJ81" s="9"/>
      <c r="AK81" s="9"/>
      <c r="AL81" s="79"/>
      <c r="AM81" s="79"/>
      <c r="AN81" s="79"/>
      <c r="AO81" s="59"/>
      <c r="AP81" s="59"/>
      <c r="AQ81" s="55"/>
      <c r="AR81" s="56"/>
      <c r="AS81" s="175"/>
      <c r="AT81" s="175"/>
    </row>
    <row r="82" spans="1:46" s="23" customFormat="1" ht="12.75" customHeight="1" x14ac:dyDescent="0.2">
      <c r="A82" s="15"/>
      <c r="B82" s="15"/>
      <c r="C82" s="29" t="s">
        <v>2287</v>
      </c>
      <c r="D82" s="29"/>
      <c r="E82" s="133" t="s">
        <v>2288</v>
      </c>
      <c r="F82" s="133"/>
      <c r="G82" s="133"/>
      <c r="H82" s="133"/>
      <c r="I82" s="133" t="s">
        <v>2235</v>
      </c>
      <c r="J82" s="133"/>
      <c r="K82" s="133"/>
      <c r="L82" s="137">
        <v>293.2</v>
      </c>
      <c r="M82" s="137"/>
      <c r="N82" s="140">
        <v>386.14</v>
      </c>
      <c r="O82" s="140"/>
      <c r="P82" s="138">
        <v>0</v>
      </c>
      <c r="Q82" s="138"/>
      <c r="R82" s="138"/>
      <c r="S82" s="138"/>
      <c r="T82" s="138">
        <v>0</v>
      </c>
      <c r="U82" s="138"/>
      <c r="V82" s="57">
        <f t="shared" si="19"/>
        <v>293.2</v>
      </c>
      <c r="W82" s="60"/>
      <c r="X82" s="9"/>
      <c r="Y82" s="9"/>
      <c r="Z82" s="9"/>
      <c r="AA82" s="9"/>
      <c r="AB82" s="9"/>
      <c r="AC82" s="9"/>
      <c r="AD82" s="61"/>
      <c r="AE82" s="9"/>
      <c r="AF82" s="9"/>
      <c r="AG82" s="9"/>
      <c r="AH82" s="9"/>
      <c r="AI82" s="9"/>
      <c r="AJ82" s="9"/>
      <c r="AK82" s="9"/>
      <c r="AL82" s="79"/>
      <c r="AM82" s="79"/>
      <c r="AN82" s="79"/>
      <c r="AO82" s="59"/>
      <c r="AP82" s="59"/>
      <c r="AQ82" s="55"/>
      <c r="AR82" s="56"/>
      <c r="AS82" s="175"/>
      <c r="AT82" s="175"/>
    </row>
    <row r="83" spans="1:46" s="23" customFormat="1" ht="12.75" customHeight="1" x14ac:dyDescent="0.2">
      <c r="A83" s="15"/>
      <c r="B83" s="15"/>
      <c r="C83" s="29" t="s">
        <v>2289</v>
      </c>
      <c r="D83" s="29"/>
      <c r="E83" s="133" t="s">
        <v>2290</v>
      </c>
      <c r="F83" s="133"/>
      <c r="G83" s="133"/>
      <c r="H83" s="133"/>
      <c r="I83" s="133" t="s">
        <v>2235</v>
      </c>
      <c r="J83" s="133"/>
      <c r="K83" s="133"/>
      <c r="L83" s="137" t="s">
        <v>2312</v>
      </c>
      <c r="M83" s="137"/>
      <c r="N83" s="138" t="s">
        <v>2501</v>
      </c>
      <c r="O83" s="138"/>
      <c r="P83" s="138">
        <v>0</v>
      </c>
      <c r="Q83" s="138"/>
      <c r="R83" s="138"/>
      <c r="S83" s="138"/>
      <c r="T83" s="138">
        <v>0</v>
      </c>
      <c r="U83" s="138"/>
      <c r="V83" s="62">
        <v>0</v>
      </c>
      <c r="W83" s="60"/>
      <c r="X83" s="9"/>
      <c r="Y83" s="9"/>
      <c r="Z83" s="9"/>
      <c r="AA83" s="9"/>
      <c r="AB83" s="9"/>
      <c r="AC83" s="9"/>
      <c r="AD83" s="63"/>
      <c r="AE83" s="9"/>
      <c r="AF83" s="9"/>
      <c r="AG83" s="9"/>
      <c r="AH83" s="9"/>
      <c r="AI83" s="9"/>
      <c r="AJ83" s="9"/>
      <c r="AK83" s="9"/>
      <c r="AO83" s="59"/>
      <c r="AP83" s="59"/>
      <c r="AQ83" s="56"/>
      <c r="AR83" s="56"/>
      <c r="AS83" s="175"/>
      <c r="AT83" s="175"/>
    </row>
    <row r="84" spans="1:46" s="23" customFormat="1" ht="12.75" customHeight="1" x14ac:dyDescent="0.2">
      <c r="A84" s="15"/>
      <c r="B84" s="15"/>
      <c r="C84" s="29" t="s">
        <v>2291</v>
      </c>
      <c r="D84" s="29"/>
      <c r="E84" s="133" t="s">
        <v>2292</v>
      </c>
      <c r="F84" s="133"/>
      <c r="G84" s="133"/>
      <c r="H84" s="133"/>
      <c r="I84" s="133" t="s">
        <v>2235</v>
      </c>
      <c r="J84" s="133"/>
      <c r="K84" s="133"/>
      <c r="L84" s="137">
        <v>24.6</v>
      </c>
      <c r="M84" s="137"/>
      <c r="N84" s="139">
        <v>23.2</v>
      </c>
      <c r="O84" s="139"/>
      <c r="P84" s="138">
        <v>0</v>
      </c>
      <c r="Q84" s="138"/>
      <c r="R84" s="138"/>
      <c r="S84" s="138"/>
      <c r="T84" s="138">
        <v>0</v>
      </c>
      <c r="U84" s="138"/>
      <c r="V84" s="57">
        <f t="shared" si="19"/>
        <v>24.6</v>
      </c>
      <c r="W84" s="58"/>
      <c r="X84" s="9"/>
      <c r="Y84" s="9"/>
      <c r="Z84" s="9"/>
      <c r="AA84" s="9"/>
      <c r="AB84" s="9"/>
      <c r="AC84" s="9"/>
      <c r="AD84" s="9"/>
      <c r="AE84" s="9"/>
      <c r="AF84" s="9"/>
      <c r="AG84" s="9"/>
      <c r="AH84" s="9"/>
      <c r="AI84" s="9"/>
      <c r="AJ84" s="9"/>
      <c r="AK84" s="9"/>
      <c r="AO84" s="59"/>
      <c r="AP84" s="59"/>
      <c r="AQ84" s="56"/>
      <c r="AR84" s="56"/>
      <c r="AS84" s="175"/>
      <c r="AT84" s="175"/>
    </row>
    <row r="85" spans="1:46" s="23" customFormat="1" ht="12.75" customHeight="1" x14ac:dyDescent="0.2">
      <c r="A85" s="15"/>
      <c r="B85" s="15"/>
      <c r="C85" s="29" t="s">
        <v>2293</v>
      </c>
      <c r="D85" s="29"/>
      <c r="E85" s="133" t="s">
        <v>2294</v>
      </c>
      <c r="F85" s="133"/>
      <c r="G85" s="133"/>
      <c r="H85" s="133"/>
      <c r="I85" s="133" t="s">
        <v>2235</v>
      </c>
      <c r="J85" s="133"/>
      <c r="K85" s="133"/>
      <c r="L85" s="137" t="s">
        <v>2312</v>
      </c>
      <c r="M85" s="137"/>
      <c r="N85" s="137" t="s">
        <v>2312</v>
      </c>
      <c r="O85" s="137"/>
      <c r="P85" s="138">
        <v>0</v>
      </c>
      <c r="Q85" s="138"/>
      <c r="R85" s="138"/>
      <c r="S85" s="138"/>
      <c r="T85" s="138">
        <v>0</v>
      </c>
      <c r="U85" s="138"/>
      <c r="V85" s="62">
        <v>0</v>
      </c>
      <c r="W85" s="60"/>
      <c r="X85" s="9"/>
      <c r="Y85" s="9"/>
      <c r="Z85" s="9"/>
      <c r="AA85" s="9"/>
      <c r="AB85" s="9"/>
      <c r="AC85" s="9"/>
      <c r="AD85" s="63"/>
      <c r="AE85" s="9"/>
      <c r="AF85" s="9"/>
      <c r="AG85" s="9"/>
      <c r="AH85" s="9"/>
      <c r="AI85" s="9"/>
      <c r="AJ85" s="9"/>
      <c r="AK85" s="9"/>
      <c r="AO85" s="59"/>
      <c r="AP85" s="59"/>
      <c r="AQ85" s="56"/>
      <c r="AR85" s="56"/>
      <c r="AS85" s="175"/>
      <c r="AT85" s="175"/>
    </row>
    <row r="86" spans="1:46" s="23" customFormat="1" ht="12.75" customHeight="1" x14ac:dyDescent="0.2">
      <c r="A86" s="15"/>
      <c r="B86" s="15"/>
      <c r="C86" s="29" t="s">
        <v>2295</v>
      </c>
      <c r="D86" s="29"/>
      <c r="E86" s="133" t="s">
        <v>2296</v>
      </c>
      <c r="F86" s="133"/>
      <c r="G86" s="133"/>
      <c r="H86" s="133"/>
      <c r="I86" s="133" t="s">
        <v>2237</v>
      </c>
      <c r="J86" s="133"/>
      <c r="K86" s="133"/>
      <c r="L86" s="137" t="s">
        <v>2312</v>
      </c>
      <c r="M86" s="137"/>
      <c r="N86" s="137" t="s">
        <v>2312</v>
      </c>
      <c r="O86" s="137"/>
      <c r="P86" s="138">
        <v>0</v>
      </c>
      <c r="Q86" s="138"/>
      <c r="R86" s="138"/>
      <c r="S86" s="138"/>
      <c r="T86" s="138">
        <v>0</v>
      </c>
      <c r="U86" s="138"/>
      <c r="V86" s="62">
        <v>0</v>
      </c>
      <c r="W86" s="58"/>
      <c r="X86" s="9"/>
      <c r="Y86" s="9"/>
      <c r="Z86" s="9"/>
      <c r="AA86" s="9"/>
      <c r="AB86" s="9"/>
      <c r="AC86" s="9"/>
      <c r="AD86" s="9"/>
      <c r="AE86" s="9"/>
      <c r="AF86" s="9"/>
      <c r="AG86" s="9"/>
      <c r="AH86" s="9"/>
      <c r="AI86" s="9"/>
      <c r="AJ86" s="9"/>
      <c r="AK86" s="9"/>
      <c r="AO86" s="59"/>
      <c r="AP86" s="59"/>
      <c r="AQ86" s="56"/>
      <c r="AR86" s="56"/>
      <c r="AS86" s="175"/>
      <c r="AT86" s="175"/>
    </row>
    <row r="87" spans="1:46" s="23" customFormat="1" ht="12.75" customHeight="1" x14ac:dyDescent="0.2">
      <c r="A87" s="15"/>
      <c r="B87" s="15"/>
      <c r="C87" s="29" t="s">
        <v>2297</v>
      </c>
      <c r="D87" s="29"/>
      <c r="E87" s="133" t="s">
        <v>2298</v>
      </c>
      <c r="F87" s="133"/>
      <c r="G87" s="133"/>
      <c r="H87" s="133"/>
      <c r="I87" s="133" t="s">
        <v>2235</v>
      </c>
      <c r="J87" s="133"/>
      <c r="K87" s="133"/>
      <c r="L87" s="137" t="s">
        <v>2312</v>
      </c>
      <c r="M87" s="137"/>
      <c r="N87" s="137" t="s">
        <v>2312</v>
      </c>
      <c r="O87" s="137"/>
      <c r="P87" s="138">
        <v>0</v>
      </c>
      <c r="Q87" s="138"/>
      <c r="R87" s="138"/>
      <c r="S87" s="138"/>
      <c r="T87" s="138">
        <v>0</v>
      </c>
      <c r="U87" s="138"/>
      <c r="V87" s="62">
        <v>0</v>
      </c>
      <c r="W87" s="58"/>
      <c r="X87" s="9"/>
      <c r="Y87" s="9"/>
      <c r="Z87" s="9"/>
      <c r="AA87" s="9"/>
      <c r="AB87" s="9"/>
      <c r="AC87" s="9"/>
      <c r="AD87" s="9"/>
      <c r="AE87" s="9"/>
      <c r="AF87" s="9"/>
      <c r="AG87" s="9"/>
      <c r="AH87" s="9"/>
      <c r="AI87" s="9"/>
      <c r="AJ87" s="9"/>
      <c r="AK87" s="9"/>
      <c r="AO87" s="59"/>
      <c r="AP87" s="59"/>
      <c r="AQ87" s="56"/>
      <c r="AR87" s="56"/>
      <c r="AS87" s="175"/>
      <c r="AT87" s="175"/>
    </row>
    <row r="88" spans="1:46" s="23" customFormat="1" ht="12.75" customHeight="1" x14ac:dyDescent="0.2">
      <c r="A88" s="15"/>
      <c r="B88" s="15"/>
      <c r="C88" s="29" t="s">
        <v>2299</v>
      </c>
      <c r="D88" s="29"/>
      <c r="E88" s="133" t="s">
        <v>2300</v>
      </c>
      <c r="F88" s="133"/>
      <c r="G88" s="133"/>
      <c r="H88" s="133"/>
      <c r="I88" s="133" t="s">
        <v>2235</v>
      </c>
      <c r="J88" s="133"/>
      <c r="K88" s="133"/>
      <c r="L88" s="137" t="s">
        <v>2312</v>
      </c>
      <c r="M88" s="137"/>
      <c r="N88" s="137" t="s">
        <v>2312</v>
      </c>
      <c r="O88" s="137"/>
      <c r="P88" s="138">
        <v>0</v>
      </c>
      <c r="Q88" s="138"/>
      <c r="R88" s="138"/>
      <c r="S88" s="138"/>
      <c r="T88" s="138">
        <v>0</v>
      </c>
      <c r="U88" s="138"/>
      <c r="V88" s="62">
        <v>0</v>
      </c>
      <c r="W88" s="64"/>
      <c r="X88" s="9"/>
      <c r="Y88" s="9"/>
      <c r="Z88" s="9"/>
      <c r="AA88" s="9"/>
      <c r="AB88" s="9"/>
      <c r="AC88" s="9"/>
      <c r="AD88" s="9"/>
      <c r="AE88" s="9"/>
      <c r="AF88" s="9"/>
      <c r="AG88" s="9"/>
      <c r="AH88" s="9"/>
      <c r="AI88" s="9"/>
      <c r="AJ88" s="9"/>
      <c r="AK88" s="9"/>
      <c r="AO88" s="59"/>
      <c r="AP88" s="59"/>
      <c r="AQ88" s="56"/>
      <c r="AR88" s="56"/>
      <c r="AS88" s="175"/>
      <c r="AT88" s="175"/>
    </row>
    <row r="89" spans="1:46" s="23" customFormat="1" ht="12.75" customHeight="1" x14ac:dyDescent="0.2">
      <c r="A89" s="15"/>
      <c r="B89" s="15"/>
      <c r="C89" s="29" t="s">
        <v>2301</v>
      </c>
      <c r="D89" s="29"/>
      <c r="E89" s="133" t="s">
        <v>2302</v>
      </c>
      <c r="F89" s="133"/>
      <c r="G89" s="133"/>
      <c r="H89" s="133"/>
      <c r="I89" s="133" t="s">
        <v>2303</v>
      </c>
      <c r="J89" s="133"/>
      <c r="K89" s="133"/>
      <c r="L89" s="137">
        <v>0.98</v>
      </c>
      <c r="M89" s="137"/>
      <c r="N89" s="140">
        <v>0.99</v>
      </c>
      <c r="O89" s="140"/>
      <c r="P89" s="138">
        <v>0</v>
      </c>
      <c r="Q89" s="138"/>
      <c r="R89" s="138"/>
      <c r="S89" s="138"/>
      <c r="T89" s="138">
        <v>0</v>
      </c>
      <c r="U89" s="138"/>
      <c r="V89" s="57">
        <f t="shared" si="19"/>
        <v>0.98</v>
      </c>
      <c r="W89" s="58"/>
      <c r="X89" s="9"/>
      <c r="Y89" s="9"/>
      <c r="Z89" s="9"/>
      <c r="AA89" s="9"/>
      <c r="AB89" s="9"/>
      <c r="AC89" s="9"/>
      <c r="AD89" s="9"/>
      <c r="AE89" s="9"/>
      <c r="AF89" s="9"/>
      <c r="AG89" s="9"/>
      <c r="AH89" s="9"/>
      <c r="AI89" s="9"/>
      <c r="AJ89" s="9"/>
      <c r="AK89" s="9"/>
      <c r="AO89" s="59"/>
      <c r="AP89" s="59"/>
      <c r="AQ89" s="56"/>
      <c r="AR89" s="56"/>
      <c r="AS89" s="175"/>
      <c r="AT89" s="175"/>
    </row>
    <row r="90" spans="1:46" s="23" customFormat="1" ht="12.75" customHeight="1" x14ac:dyDescent="0.2">
      <c r="A90" s="15"/>
      <c r="B90" s="15"/>
      <c r="C90" s="29" t="s">
        <v>2304</v>
      </c>
      <c r="D90" s="29"/>
      <c r="E90" s="133" t="s">
        <v>2305</v>
      </c>
      <c r="F90" s="133"/>
      <c r="G90" s="133"/>
      <c r="H90" s="133"/>
      <c r="I90" s="133" t="s">
        <v>2235</v>
      </c>
      <c r="J90" s="133"/>
      <c r="K90" s="133"/>
      <c r="L90" s="146">
        <v>1</v>
      </c>
      <c r="M90" s="146"/>
      <c r="N90" s="137" t="s">
        <v>2312</v>
      </c>
      <c r="O90" s="137"/>
      <c r="P90" s="138">
        <v>0</v>
      </c>
      <c r="Q90" s="138"/>
      <c r="R90" s="138"/>
      <c r="S90" s="138"/>
      <c r="T90" s="138">
        <v>0</v>
      </c>
      <c r="U90" s="138"/>
      <c r="V90" s="57">
        <f t="shared" si="19"/>
        <v>1</v>
      </c>
      <c r="W90" s="58"/>
      <c r="X90" s="9"/>
      <c r="Y90" s="9"/>
      <c r="Z90" s="9"/>
      <c r="AA90" s="9"/>
      <c r="AB90" s="9"/>
      <c r="AC90" s="9"/>
      <c r="AD90" s="9"/>
      <c r="AE90" s="9"/>
      <c r="AF90" s="9"/>
      <c r="AG90" s="9"/>
      <c r="AH90" s="9"/>
      <c r="AI90" s="9"/>
      <c r="AJ90" s="9"/>
      <c r="AK90" s="9"/>
      <c r="AO90" s="59"/>
      <c r="AP90" s="59"/>
      <c r="AQ90" s="56"/>
      <c r="AR90" s="56"/>
      <c r="AS90" s="175"/>
      <c r="AT90" s="175"/>
    </row>
    <row r="91" spans="1:46" s="23" customFormat="1" ht="12.75" customHeight="1" x14ac:dyDescent="0.2">
      <c r="A91" s="15"/>
      <c r="B91" s="15"/>
      <c r="C91" s="29" t="s">
        <v>2306</v>
      </c>
      <c r="D91" s="29"/>
      <c r="E91" s="133" t="s">
        <v>2307</v>
      </c>
      <c r="F91" s="133"/>
      <c r="G91" s="133"/>
      <c r="H91" s="133"/>
      <c r="I91" s="133" t="s">
        <v>2308</v>
      </c>
      <c r="J91" s="133"/>
      <c r="K91" s="133"/>
      <c r="L91" s="137" t="s">
        <v>2312</v>
      </c>
      <c r="M91" s="137"/>
      <c r="N91" s="138" t="s">
        <v>2501</v>
      </c>
      <c r="O91" s="138"/>
      <c r="P91" s="138">
        <v>0</v>
      </c>
      <c r="Q91" s="138"/>
      <c r="R91" s="138"/>
      <c r="S91" s="138"/>
      <c r="T91" s="138">
        <v>0</v>
      </c>
      <c r="U91" s="138"/>
      <c r="V91" s="62">
        <v>0</v>
      </c>
      <c r="W91" s="58"/>
      <c r="X91" s="9"/>
      <c r="Y91" s="9"/>
      <c r="Z91" s="9"/>
      <c r="AA91" s="9"/>
      <c r="AB91" s="9"/>
      <c r="AC91" s="9"/>
      <c r="AD91" s="9"/>
      <c r="AE91" s="9"/>
      <c r="AF91" s="9"/>
      <c r="AG91" s="9"/>
      <c r="AH91" s="9"/>
      <c r="AI91" s="9"/>
      <c r="AJ91" s="9"/>
      <c r="AK91" s="9"/>
      <c r="AO91" s="59"/>
      <c r="AP91" s="59"/>
      <c r="AQ91" s="56"/>
      <c r="AR91" s="56"/>
      <c r="AS91" s="175"/>
      <c r="AT91" s="175"/>
    </row>
    <row r="92" spans="1:46" ht="12.75" customHeight="1" x14ac:dyDescent="0.2">
      <c r="V92" s="66"/>
    </row>
    <row r="93" spans="1:46" ht="12.75" customHeight="1" x14ac:dyDescent="0.2">
      <c r="AA93" s="103"/>
      <c r="AB93" s="104"/>
      <c r="AD93" s="105"/>
      <c r="AG93" s="70"/>
    </row>
    <row r="94" spans="1:46" ht="12.75" customHeight="1" x14ac:dyDescent="0.2">
      <c r="AA94" s="104"/>
      <c r="AC94" s="104"/>
      <c r="AD94" s="104"/>
      <c r="AE94" s="104"/>
    </row>
    <row r="96" spans="1:46" ht="12.75" customHeight="1" x14ac:dyDescent="0.2">
      <c r="AK96" s="71"/>
    </row>
    <row r="97" spans="37:37" ht="12.75" customHeight="1" x14ac:dyDescent="0.2">
      <c r="AK97" s="71"/>
    </row>
  </sheetData>
  <sheetProtection selectLockedCells="1"/>
  <autoFilter ref="B11:AV91"/>
  <mergeCells count="574">
    <mergeCell ref="AG30:AI30"/>
    <mergeCell ref="AA30:AC30"/>
    <mergeCell ref="X29:Z29"/>
    <mergeCell ref="AQ74:AQ75"/>
    <mergeCell ref="AR71:AR72"/>
    <mergeCell ref="AO46:AO49"/>
    <mergeCell ref="AP46:AP49"/>
    <mergeCell ref="X33:Z33"/>
    <mergeCell ref="AA33:AC33"/>
    <mergeCell ref="AR74:AR75"/>
    <mergeCell ref="AL74:AL75"/>
    <mergeCell ref="AM74:AM75"/>
    <mergeCell ref="AG51:AI51"/>
    <mergeCell ref="AG55:AI55"/>
    <mergeCell ref="AL57:AL58"/>
    <mergeCell ref="AD44:AF44"/>
    <mergeCell ref="AG44:AI44"/>
    <mergeCell ref="AD43:AF43"/>
    <mergeCell ref="AD37:AF37"/>
    <mergeCell ref="AR46:AR49"/>
    <mergeCell ref="AO54:AO55"/>
    <mergeCell ref="AP54:AP55"/>
    <mergeCell ref="AQ54:AQ55"/>
    <mergeCell ref="AR54:AR55"/>
    <mergeCell ref="AG14:AI14"/>
    <mergeCell ref="AD15:AF15"/>
    <mergeCell ref="AG21:AI21"/>
    <mergeCell ref="X18:Z18"/>
    <mergeCell ref="AD22:AF22"/>
    <mergeCell ref="AM66:AM67"/>
    <mergeCell ref="AL71:AL72"/>
    <mergeCell ref="AA18:AC18"/>
    <mergeCell ref="AD18:AF18"/>
    <mergeCell ref="AG18:AI18"/>
    <mergeCell ref="AD19:AF19"/>
    <mergeCell ref="AG19:AI19"/>
    <mergeCell ref="AA19:AC19"/>
    <mergeCell ref="AA32:AC32"/>
    <mergeCell ref="AD35:AF35"/>
    <mergeCell ref="AG35:AI35"/>
    <mergeCell ref="AM16:AM17"/>
    <mergeCell ref="AL16:AL17"/>
    <mergeCell ref="AG33:AI33"/>
    <mergeCell ref="AG37:AI37"/>
    <mergeCell ref="AD34:AF34"/>
    <mergeCell ref="AG34:AI34"/>
    <mergeCell ref="AG47:AI47"/>
    <mergeCell ref="AG48:AI48"/>
    <mergeCell ref="AO68:AO69"/>
    <mergeCell ref="AP68:AP69"/>
    <mergeCell ref="AQ68:AQ69"/>
    <mergeCell ref="AR68:AR69"/>
    <mergeCell ref="AQ66:AQ67"/>
    <mergeCell ref="AR66:AR67"/>
    <mergeCell ref="AO66:AO67"/>
    <mergeCell ref="AP66:AP67"/>
    <mergeCell ref="AO9:AT10"/>
    <mergeCell ref="AS12:AS13"/>
    <mergeCell ref="AT12:AT13"/>
    <mergeCell ref="AS16:AS17"/>
    <mergeCell ref="AT16:AT17"/>
    <mergeCell ref="AS26:AS27"/>
    <mergeCell ref="AT26:AT27"/>
    <mergeCell ref="AS41:AS42"/>
    <mergeCell ref="AT41:AT42"/>
    <mergeCell ref="AO26:AO27"/>
    <mergeCell ref="AP26:AP27"/>
    <mergeCell ref="AO12:AO13"/>
    <mergeCell ref="AP41:AP42"/>
    <mergeCell ref="AQ26:AQ27"/>
    <mergeCell ref="AR26:AR27"/>
    <mergeCell ref="AQ41:AQ42"/>
    <mergeCell ref="AR41:AR42"/>
    <mergeCell ref="AT71:AT72"/>
    <mergeCell ref="AS74:AS75"/>
    <mergeCell ref="AT74:AT75"/>
    <mergeCell ref="AS68:AS69"/>
    <mergeCell ref="AT68:AT69"/>
    <mergeCell ref="AS46:AS49"/>
    <mergeCell ref="AT46:AT49"/>
    <mergeCell ref="AS54:AS55"/>
    <mergeCell ref="AT54:AT55"/>
    <mergeCell ref="AS66:AS67"/>
    <mergeCell ref="AT66:AT67"/>
    <mergeCell ref="AS71:AS72"/>
    <mergeCell ref="AN14:AN15"/>
    <mergeCell ref="AM14:AM15"/>
    <mergeCell ref="AO16:AO17"/>
    <mergeCell ref="AP16:AP17"/>
    <mergeCell ref="AN16:AN17"/>
    <mergeCell ref="AQ46:AQ49"/>
    <mergeCell ref="AQ71:AQ72"/>
    <mergeCell ref="AD26:AF26"/>
    <mergeCell ref="AD39:AF39"/>
    <mergeCell ref="AG26:AI26"/>
    <mergeCell ref="AD27:AF27"/>
    <mergeCell ref="AG22:AI22"/>
    <mergeCell ref="AD20:AF20"/>
    <mergeCell ref="AG20:AI20"/>
    <mergeCell ref="AD21:AF21"/>
    <mergeCell ref="AD32:AF32"/>
    <mergeCell ref="AG43:AI43"/>
    <mergeCell ref="AD47:AF47"/>
    <mergeCell ref="AD48:AF48"/>
    <mergeCell ref="AD49:AF49"/>
    <mergeCell ref="AD28:AF28"/>
    <mergeCell ref="AG28:AI28"/>
    <mergeCell ref="AD29:AF29"/>
    <mergeCell ref="AG29:AI29"/>
    <mergeCell ref="AA14:AC14"/>
    <mergeCell ref="X15:Z15"/>
    <mergeCell ref="AA15:AC15"/>
    <mergeCell ref="AD16:AF16"/>
    <mergeCell ref="E23:E24"/>
    <mergeCell ref="AR12:AR13"/>
    <mergeCell ref="AQ12:AQ13"/>
    <mergeCell ref="X13:Z13"/>
    <mergeCell ref="AD12:AF12"/>
    <mergeCell ref="AG12:AI12"/>
    <mergeCell ref="AD14:AF14"/>
    <mergeCell ref="AG15:AI15"/>
    <mergeCell ref="AG24:AI24"/>
    <mergeCell ref="AD23:AF23"/>
    <mergeCell ref="AG23:AI23"/>
    <mergeCell ref="AD24:AF24"/>
    <mergeCell ref="X19:Z19"/>
    <mergeCell ref="AL20:AL22"/>
    <mergeCell ref="AL23:AL24"/>
    <mergeCell ref="AM23:AM24"/>
    <mergeCell ref="AL12:AL13"/>
    <mergeCell ref="AL14:AL15"/>
    <mergeCell ref="AQ16:AQ17"/>
    <mergeCell ref="AR16:AR17"/>
    <mergeCell ref="C16:C17"/>
    <mergeCell ref="D16:D17"/>
    <mergeCell ref="AD17:AF17"/>
    <mergeCell ref="AG17:AI17"/>
    <mergeCell ref="X16:Z16"/>
    <mergeCell ref="AA16:AC16"/>
    <mergeCell ref="X17:Z17"/>
    <mergeCell ref="AA17:AC17"/>
    <mergeCell ref="AG16:AI16"/>
    <mergeCell ref="F9:I10"/>
    <mergeCell ref="J10:K10"/>
    <mergeCell ref="F14:F15"/>
    <mergeCell ref="H14:H15"/>
    <mergeCell ref="J9:K9"/>
    <mergeCell ref="B2:F5"/>
    <mergeCell ref="B6:F6"/>
    <mergeCell ref="B7:F7"/>
    <mergeCell ref="B8:F8"/>
    <mergeCell ref="G2:AR2"/>
    <mergeCell ref="G3:AR3"/>
    <mergeCell ref="G4:AR4"/>
    <mergeCell ref="G5:AR5"/>
    <mergeCell ref="G8:AR8"/>
    <mergeCell ref="G6:AR6"/>
    <mergeCell ref="G7:AR7"/>
    <mergeCell ref="AP12:AP13"/>
    <mergeCell ref="AM12:AM13"/>
    <mergeCell ref="AA13:AC13"/>
    <mergeCell ref="AD13:AF13"/>
    <mergeCell ref="AG13:AI13"/>
    <mergeCell ref="X12:Z12"/>
    <mergeCell ref="AA12:AC12"/>
    <mergeCell ref="X14:Z14"/>
    <mergeCell ref="AG69:AI69"/>
    <mergeCell ref="AG68:AI68"/>
    <mergeCell ref="AD61:AF61"/>
    <mergeCell ref="AG61:AI61"/>
    <mergeCell ref="AG63:AI63"/>
    <mergeCell ref="AG64:AI64"/>
    <mergeCell ref="AA52:AC52"/>
    <mergeCell ref="AA50:AC50"/>
    <mergeCell ref="X51:Z51"/>
    <mergeCell ref="AA58:AC58"/>
    <mergeCell ref="X59:Z59"/>
    <mergeCell ref="AA59:AC59"/>
    <mergeCell ref="AD59:AF59"/>
    <mergeCell ref="AG59:AI59"/>
    <mergeCell ref="X60:Z60"/>
    <mergeCell ref="AA60:AC60"/>
    <mergeCell ref="X61:Z61"/>
    <mergeCell ref="AA61:AC61"/>
    <mergeCell ref="X62:Z62"/>
    <mergeCell ref="AA62:AC62"/>
    <mergeCell ref="X63:Z63"/>
    <mergeCell ref="AA63:AC63"/>
    <mergeCell ref="AD69:AF69"/>
    <mergeCell ref="AD65:AF65"/>
    <mergeCell ref="AD45:AF45"/>
    <mergeCell ref="AG45:AI45"/>
    <mergeCell ref="AG40:AI40"/>
    <mergeCell ref="AD46:AF46"/>
    <mergeCell ref="AG46:AI46"/>
    <mergeCell ref="AD54:AF54"/>
    <mergeCell ref="AG54:AI54"/>
    <mergeCell ref="AD57:AF57"/>
    <mergeCell ref="AG57:AI57"/>
    <mergeCell ref="AG50:AI50"/>
    <mergeCell ref="AD42:AF42"/>
    <mergeCell ref="AD50:AF50"/>
    <mergeCell ref="AD52:AF52"/>
    <mergeCell ref="AG53:AI53"/>
    <mergeCell ref="AD53:AF53"/>
    <mergeCell ref="AG52:AI52"/>
    <mergeCell ref="I90:K90"/>
    <mergeCell ref="I91:K91"/>
    <mergeCell ref="I89:K89"/>
    <mergeCell ref="N89:O89"/>
    <mergeCell ref="E89:H89"/>
    <mergeCell ref="E90:H90"/>
    <mergeCell ref="L82:M82"/>
    <mergeCell ref="N82:O82"/>
    <mergeCell ref="I88:K88"/>
    <mergeCell ref="L83:M83"/>
    <mergeCell ref="N83:O83"/>
    <mergeCell ref="E86:H86"/>
    <mergeCell ref="E87:H87"/>
    <mergeCell ref="E88:H88"/>
    <mergeCell ref="I86:K86"/>
    <mergeCell ref="I87:K87"/>
    <mergeCell ref="L91:M91"/>
    <mergeCell ref="N91:O91"/>
    <mergeCell ref="I82:K82"/>
    <mergeCell ref="I83:K83"/>
    <mergeCell ref="I84:K84"/>
    <mergeCell ref="I85:K85"/>
    <mergeCell ref="L88:M88"/>
    <mergeCell ref="N88:O88"/>
    <mergeCell ref="L89:M89"/>
    <mergeCell ref="P89:Q89"/>
    <mergeCell ref="R89:S89"/>
    <mergeCell ref="T89:U89"/>
    <mergeCell ref="L90:M90"/>
    <mergeCell ref="N90:O90"/>
    <mergeCell ref="P90:Q90"/>
    <mergeCell ref="R90:S90"/>
    <mergeCell ref="T90:U90"/>
    <mergeCell ref="P91:Q91"/>
    <mergeCell ref="R91:S91"/>
    <mergeCell ref="T91:U91"/>
    <mergeCell ref="T84:U84"/>
    <mergeCell ref="P85:Q85"/>
    <mergeCell ref="R85:S85"/>
    <mergeCell ref="T85:U85"/>
    <mergeCell ref="P86:Q86"/>
    <mergeCell ref="R86:S86"/>
    <mergeCell ref="T86:U86"/>
    <mergeCell ref="P87:Q87"/>
    <mergeCell ref="R87:S87"/>
    <mergeCell ref="T87:U87"/>
    <mergeCell ref="R88:S88"/>
    <mergeCell ref="T88:U88"/>
    <mergeCell ref="P88:Q88"/>
    <mergeCell ref="I81:K81"/>
    <mergeCell ref="I79:K79"/>
    <mergeCell ref="L79:M79"/>
    <mergeCell ref="N79:O79"/>
    <mergeCell ref="P79:Q79"/>
    <mergeCell ref="H29:H33"/>
    <mergeCell ref="L80:M80"/>
    <mergeCell ref="N80:O80"/>
    <mergeCell ref="P80:Q80"/>
    <mergeCell ref="N81:O81"/>
    <mergeCell ref="P81:Q81"/>
    <mergeCell ref="H59:H60"/>
    <mergeCell ref="I77:K77"/>
    <mergeCell ref="I80:K80"/>
    <mergeCell ref="L81:M81"/>
    <mergeCell ref="B9:E10"/>
    <mergeCell ref="C46:C50"/>
    <mergeCell ref="C62:C63"/>
    <mergeCell ref="D29:D33"/>
    <mergeCell ref="D44:D45"/>
    <mergeCell ref="D46:D50"/>
    <mergeCell ref="D54:D56"/>
    <mergeCell ref="D57:D58"/>
    <mergeCell ref="C54:C56"/>
    <mergeCell ref="E54:E56"/>
    <mergeCell ref="C29:C33"/>
    <mergeCell ref="C44:C45"/>
    <mergeCell ref="E44:E45"/>
    <mergeCell ref="E14:E15"/>
    <mergeCell ref="E16:E17"/>
    <mergeCell ref="C36:C37"/>
    <mergeCell ref="D36:D37"/>
    <mergeCell ref="C14:C15"/>
    <mergeCell ref="C20:C22"/>
    <mergeCell ref="C23:C24"/>
    <mergeCell ref="D20:D22"/>
    <mergeCell ref="D23:D24"/>
    <mergeCell ref="D14:D15"/>
    <mergeCell ref="C57:C58"/>
    <mergeCell ref="E57:E58"/>
    <mergeCell ref="D59:D60"/>
    <mergeCell ref="D62:D63"/>
    <mergeCell ref="T78:U78"/>
    <mergeCell ref="C39:C40"/>
    <mergeCell ref="D39:D40"/>
    <mergeCell ref="C41:C42"/>
    <mergeCell ref="D41:D42"/>
    <mergeCell ref="C59:C60"/>
    <mergeCell ref="I78:K78"/>
    <mergeCell ref="E39:E40"/>
    <mergeCell ref="R78:S78"/>
    <mergeCell ref="C71:C72"/>
    <mergeCell ref="D71:D72"/>
    <mergeCell ref="N78:O78"/>
    <mergeCell ref="P78:Q78"/>
    <mergeCell ref="L78:M78"/>
    <mergeCell ref="L77:M77"/>
    <mergeCell ref="N77:O77"/>
    <mergeCell ref="P77:Q77"/>
    <mergeCell ref="R77:S77"/>
    <mergeCell ref="T77:U77"/>
    <mergeCell ref="C68:C69"/>
    <mergeCell ref="L87:M87"/>
    <mergeCell ref="N87:O87"/>
    <mergeCell ref="L86:M86"/>
    <mergeCell ref="N86:O86"/>
    <mergeCell ref="T80:U80"/>
    <mergeCell ref="T79:U79"/>
    <mergeCell ref="X50:Z50"/>
    <mergeCell ref="L85:M85"/>
    <mergeCell ref="N85:O85"/>
    <mergeCell ref="L84:M84"/>
    <mergeCell ref="N84:O84"/>
    <mergeCell ref="R79:S79"/>
    <mergeCell ref="R82:S82"/>
    <mergeCell ref="R81:S81"/>
    <mergeCell ref="R80:S80"/>
    <mergeCell ref="T82:U82"/>
    <mergeCell ref="P83:Q83"/>
    <mergeCell ref="R83:S83"/>
    <mergeCell ref="P84:Q84"/>
    <mergeCell ref="R84:S84"/>
    <mergeCell ref="T83:U83"/>
    <mergeCell ref="T81:U81"/>
    <mergeCell ref="P82:Q82"/>
    <mergeCell ref="X58:Z58"/>
    <mergeCell ref="E91:H91"/>
    <mergeCell ref="E20:E22"/>
    <mergeCell ref="E29:E33"/>
    <mergeCell ref="E59:E60"/>
    <mergeCell ref="E77:H77"/>
    <mergeCell ref="E78:H78"/>
    <mergeCell ref="E46:E50"/>
    <mergeCell ref="E62:E63"/>
    <mergeCell ref="E41:E42"/>
    <mergeCell ref="E36:E37"/>
    <mergeCell ref="H20:H22"/>
    <mergeCell ref="E81:H81"/>
    <mergeCell ref="E71:E72"/>
    <mergeCell ref="H23:H24"/>
    <mergeCell ref="E79:H79"/>
    <mergeCell ref="F59:F60"/>
    <mergeCell ref="E80:H80"/>
    <mergeCell ref="E82:H82"/>
    <mergeCell ref="E83:H83"/>
    <mergeCell ref="E84:H84"/>
    <mergeCell ref="E85:H85"/>
    <mergeCell ref="F20:F22"/>
    <mergeCell ref="F29:F33"/>
    <mergeCell ref="F23:F24"/>
    <mergeCell ref="AD33:AF33"/>
    <mergeCell ref="AM29:AM33"/>
    <mergeCell ref="X20:Z20"/>
    <mergeCell ref="AA20:AC20"/>
    <mergeCell ref="X21:Z21"/>
    <mergeCell ref="AA21:AC21"/>
    <mergeCell ref="X22:Z22"/>
    <mergeCell ref="AA22:AC22"/>
    <mergeCell ref="X23:Z23"/>
    <mergeCell ref="AA23:AC23"/>
    <mergeCell ref="X24:Z24"/>
    <mergeCell ref="AA24:AC24"/>
    <mergeCell ref="X25:Z25"/>
    <mergeCell ref="AA25:AC25"/>
    <mergeCell ref="X26:Z26"/>
    <mergeCell ref="AA26:AC26"/>
    <mergeCell ref="X28:Z28"/>
    <mergeCell ref="AA28:AC28"/>
    <mergeCell ref="X32:Z32"/>
    <mergeCell ref="AD25:AF25"/>
    <mergeCell ref="AG25:AI25"/>
    <mergeCell ref="AG27:AI27"/>
    <mergeCell ref="AD31:AF31"/>
    <mergeCell ref="AD30:AF30"/>
    <mergeCell ref="AN20:AN22"/>
    <mergeCell ref="AM68:AM69"/>
    <mergeCell ref="AN68:AN69"/>
    <mergeCell ref="AM59:AM60"/>
    <mergeCell ref="AN59:AN60"/>
    <mergeCell ref="AM57:AM58"/>
    <mergeCell ref="AN57:AN58"/>
    <mergeCell ref="AM46:AM50"/>
    <mergeCell ref="AN46:AN50"/>
    <mergeCell ref="AM36:AM37"/>
    <mergeCell ref="AN36:AN37"/>
    <mergeCell ref="AM62:AM63"/>
    <mergeCell ref="AN62:AN63"/>
    <mergeCell ref="AM41:AM42"/>
    <mergeCell ref="AN41:AN42"/>
    <mergeCell ref="AN23:AN24"/>
    <mergeCell ref="AM54:AM56"/>
    <mergeCell ref="AN44:AN45"/>
    <mergeCell ref="AM20:AM22"/>
    <mergeCell ref="AM44:AM45"/>
    <mergeCell ref="AN29:AN33"/>
    <mergeCell ref="AM51:AM53"/>
    <mergeCell ref="AN51:AN53"/>
    <mergeCell ref="AN54:AN56"/>
    <mergeCell ref="AL68:AL69"/>
    <mergeCell ref="AL29:AL33"/>
    <mergeCell ref="AL59:AL60"/>
    <mergeCell ref="AD55:AF55"/>
    <mergeCell ref="AD63:AF63"/>
    <mergeCell ref="AD56:AF56"/>
    <mergeCell ref="AG56:AI56"/>
    <mergeCell ref="AD58:AF58"/>
    <mergeCell ref="AG58:AI58"/>
    <mergeCell ref="AD60:AF60"/>
    <mergeCell ref="AG60:AI60"/>
    <mergeCell ref="AD62:AF62"/>
    <mergeCell ref="AG62:AI62"/>
    <mergeCell ref="AL54:AL56"/>
    <mergeCell ref="AD51:AF51"/>
    <mergeCell ref="AL62:AL63"/>
    <mergeCell ref="AG65:AI65"/>
    <mergeCell ref="AG66:AI66"/>
    <mergeCell ref="AL41:AL42"/>
    <mergeCell ref="AG67:AI67"/>
    <mergeCell ref="AL44:AL45"/>
    <mergeCell ref="AL51:AL53"/>
    <mergeCell ref="AG32:AI32"/>
    <mergeCell ref="AD38:AF38"/>
    <mergeCell ref="AA43:AC43"/>
    <mergeCell ref="X56:Z56"/>
    <mergeCell ref="AA56:AC56"/>
    <mergeCell ref="X57:Z57"/>
    <mergeCell ref="AA57:AC57"/>
    <mergeCell ref="X47:Z47"/>
    <mergeCell ref="AA47:AC47"/>
    <mergeCell ref="X48:Z48"/>
    <mergeCell ref="AA48:AC48"/>
    <mergeCell ref="X49:Z49"/>
    <mergeCell ref="AA49:AC49"/>
    <mergeCell ref="X54:Z54"/>
    <mergeCell ref="AA54:AC54"/>
    <mergeCell ref="X55:Z55"/>
    <mergeCell ref="AA55:AC55"/>
    <mergeCell ref="X52:Z52"/>
    <mergeCell ref="X53:Z53"/>
    <mergeCell ref="AA53:AC53"/>
    <mergeCell ref="AA51:AC51"/>
    <mergeCell ref="X74:Z74"/>
    <mergeCell ref="AA74:AC74"/>
    <mergeCell ref="AA76:AC76"/>
    <mergeCell ref="AD70:AF70"/>
    <mergeCell ref="X70:Z70"/>
    <mergeCell ref="AA70:AC70"/>
    <mergeCell ref="X71:Z71"/>
    <mergeCell ref="AA71:AC71"/>
    <mergeCell ref="X72:Z72"/>
    <mergeCell ref="AA72:AC72"/>
    <mergeCell ref="AD66:AF66"/>
    <mergeCell ref="AD68:AF68"/>
    <mergeCell ref="X67:Z67"/>
    <mergeCell ref="AA67:AC67"/>
    <mergeCell ref="AD67:AF67"/>
    <mergeCell ref="X64:Z64"/>
    <mergeCell ref="AA64:AC64"/>
    <mergeCell ref="AD64:AF64"/>
    <mergeCell ref="AG73:AI73"/>
    <mergeCell ref="AD71:AF71"/>
    <mergeCell ref="AD72:AF72"/>
    <mergeCell ref="AO74:AO75"/>
    <mergeCell ref="AP74:AP75"/>
    <mergeCell ref="AG74:AI74"/>
    <mergeCell ref="AN74:AN75"/>
    <mergeCell ref="AG75:AI75"/>
    <mergeCell ref="AD73:AF73"/>
    <mergeCell ref="AD75:AF75"/>
    <mergeCell ref="AD74:AF74"/>
    <mergeCell ref="AG71:AI71"/>
    <mergeCell ref="AG72:AI72"/>
    <mergeCell ref="AP71:AP72"/>
    <mergeCell ref="AA29:AC29"/>
    <mergeCell ref="X30:Z30"/>
    <mergeCell ref="X27:Z27"/>
    <mergeCell ref="AA27:AC27"/>
    <mergeCell ref="AG31:AI31"/>
    <mergeCell ref="AG76:AI76"/>
    <mergeCell ref="AM71:AM72"/>
    <mergeCell ref="AN71:AN72"/>
    <mergeCell ref="AO71:AO72"/>
    <mergeCell ref="AD76:AF76"/>
    <mergeCell ref="X73:Z73"/>
    <mergeCell ref="AA73:AC73"/>
    <mergeCell ref="X75:Z75"/>
    <mergeCell ref="AA75:AC75"/>
    <mergeCell ref="X76:Z76"/>
    <mergeCell ref="AG70:AI70"/>
    <mergeCell ref="X65:Z65"/>
    <mergeCell ref="AA65:AC65"/>
    <mergeCell ref="X66:Z66"/>
    <mergeCell ref="AA66:AC66"/>
    <mergeCell ref="X68:Z68"/>
    <mergeCell ref="AA68:AC68"/>
    <mergeCell ref="X69:Z69"/>
    <mergeCell ref="AA69:AC69"/>
    <mergeCell ref="AN39:AN40"/>
    <mergeCell ref="AG42:AI42"/>
    <mergeCell ref="AD40:AF40"/>
    <mergeCell ref="AD41:AF41"/>
    <mergeCell ref="AG41:AI41"/>
    <mergeCell ref="AG39:AI39"/>
    <mergeCell ref="AA36:AC36"/>
    <mergeCell ref="X37:Z37"/>
    <mergeCell ref="AA37:AC37"/>
    <mergeCell ref="X38:Z38"/>
    <mergeCell ref="AA38:AC38"/>
    <mergeCell ref="AG38:AI38"/>
    <mergeCell ref="AG36:AI36"/>
    <mergeCell ref="AD36:AF36"/>
    <mergeCell ref="X42:Z42"/>
    <mergeCell ref="AA42:AC42"/>
    <mergeCell ref="AO41:AO42"/>
    <mergeCell ref="B11:B76"/>
    <mergeCell ref="AG49:AI49"/>
    <mergeCell ref="AL46:AL50"/>
    <mergeCell ref="AN12:AN13"/>
    <mergeCell ref="X44:Z44"/>
    <mergeCell ref="AA44:AC44"/>
    <mergeCell ref="X45:Z45"/>
    <mergeCell ref="AA45:AC45"/>
    <mergeCell ref="X46:Z46"/>
    <mergeCell ref="AA46:AC46"/>
    <mergeCell ref="X39:Z39"/>
    <mergeCell ref="AA39:AC39"/>
    <mergeCell ref="X40:Z40"/>
    <mergeCell ref="AA40:AC40"/>
    <mergeCell ref="X43:Z43"/>
    <mergeCell ref="AA35:AC35"/>
    <mergeCell ref="X36:Z36"/>
    <mergeCell ref="X34:Z34"/>
    <mergeCell ref="AA34:AC34"/>
    <mergeCell ref="X35:Z35"/>
    <mergeCell ref="AM39:AM40"/>
    <mergeCell ref="AN66:AN67"/>
    <mergeCell ref="AL26:AL27"/>
    <mergeCell ref="AM26:AM27"/>
    <mergeCell ref="AN26:AN27"/>
    <mergeCell ref="AL39:AL40"/>
    <mergeCell ref="AL36:AL37"/>
    <mergeCell ref="X9:AJ10"/>
    <mergeCell ref="AK9:AN10"/>
    <mergeCell ref="L9:M9"/>
    <mergeCell ref="N9:O9"/>
    <mergeCell ref="P9:Q9"/>
    <mergeCell ref="R9:S9"/>
    <mergeCell ref="T9:U9"/>
    <mergeCell ref="V9:V11"/>
    <mergeCell ref="W9:W11"/>
    <mergeCell ref="R10:S10"/>
    <mergeCell ref="N10:O10"/>
    <mergeCell ref="T10:U10"/>
    <mergeCell ref="P10:Q10"/>
    <mergeCell ref="L10:M10"/>
    <mergeCell ref="X31:Z31"/>
    <mergeCell ref="AA31:AC31"/>
    <mergeCell ref="X41:Z41"/>
    <mergeCell ref="AA41:AC41"/>
  </mergeCells>
  <phoneticPr fontId="4" type="noConversion"/>
  <dataValidations count="1">
    <dataValidation type="list" allowBlank="1" showInputMessage="1" showErrorMessage="1" sqref="J54:J67 J44:J50 J14:J42 J69:J76">
      <formula1>$AV$2:$AV$5</formula1>
    </dataValidation>
  </dataValidations>
  <printOptions horizontalCentered="1" verticalCentered="1"/>
  <pageMargins left="0.15748031496062992" right="7.874015748031496E-2" top="3.937007874015748E-2" bottom="3.937007874015748E-2" header="0" footer="0"/>
  <pageSetup scale="1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3:P13"/>
  <sheetViews>
    <sheetView workbookViewId="0">
      <selection activeCell="F12" sqref="F12"/>
    </sheetView>
  </sheetViews>
  <sheetFormatPr baseColWidth="10" defaultRowHeight="12.75" x14ac:dyDescent="0.2"/>
  <cols>
    <col min="5" max="6" width="14.85546875" bestFit="1" customWidth="1"/>
    <col min="7" max="7" width="13.85546875" bestFit="1" customWidth="1"/>
  </cols>
  <sheetData>
    <row r="13" spans="5:16" x14ac:dyDescent="0.2">
      <c r="E13" s="87"/>
      <c r="F13" s="87"/>
      <c r="G13" s="88"/>
      <c r="P13">
        <v>166722500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Avance Metas e Indicadores</vt:lpstr>
      <vt:lpstr>Hoja1</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Diana Marcela Perez Useche</cp:lastModifiedBy>
  <cp:lastPrinted>2018-02-19T15:51:42Z</cp:lastPrinted>
  <dcterms:created xsi:type="dcterms:W3CDTF">2007-03-15T17:15:41Z</dcterms:created>
  <dcterms:modified xsi:type="dcterms:W3CDTF">2022-10-27T15:23:48Z</dcterms:modified>
</cp:coreProperties>
</file>