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jfuentes\Desktop\Mapas ajustados con no aplica\"/>
    </mc:Choice>
  </mc:AlternateContent>
  <bookViews>
    <workbookView xWindow="0" yWindow="0" windowWidth="28800" windowHeight="11700" tabRatio="882" activeTab="3"/>
  </bookViews>
  <sheets>
    <sheet name="Intructivo" sheetId="20" r:id="rId1"/>
    <sheet name="Control de cambios" sheetId="22"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62913"/>
  <pivotCaches>
    <pivotCache cacheId="3"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31" i="1"/>
  <c r="K26" i="1"/>
  <c r="K18" i="1"/>
  <c r="K57" i="1"/>
  <c r="K65" i="1"/>
  <c r="K27" i="1"/>
  <c r="K56" i="1"/>
  <c r="K35" i="1"/>
  <c r="K63" i="1"/>
  <c r="K66" i="1"/>
  <c r="K38" i="1"/>
  <c r="K60" i="1"/>
  <c r="K17" i="1"/>
  <c r="K41" i="1"/>
  <c r="K47" i="1"/>
  <c r="K69" i="1"/>
  <c r="K29" i="1"/>
  <c r="K49" i="1"/>
  <c r="K30" i="1"/>
  <c r="K19" i="1"/>
  <c r="K21" i="1"/>
  <c r="K36" i="1"/>
  <c r="K61" i="1"/>
  <c r="K20" i="1"/>
  <c r="K45" i="1"/>
  <c r="K53" i="1"/>
  <c r="K25" i="1"/>
  <c r="K50" i="1"/>
  <c r="K62" i="1"/>
  <c r="K37" i="1"/>
  <c r="K54" i="1"/>
  <c r="K39" i="1"/>
  <c r="K67" i="1"/>
  <c r="K42" i="1"/>
  <c r="K48" i="1"/>
  <c r="K55" i="1"/>
  <c r="K68" i="1"/>
  <c r="K44" i="1"/>
  <c r="K24" i="1"/>
  <c r="K59" i="1"/>
  <c r="K33" i="1"/>
  <c r="K51" i="1"/>
  <c r="K43" i="1"/>
  <c r="K23" i="1"/>
  <c r="K32" i="1"/>
  <c r="F221" i="13" l="1"/>
  <c r="F211" i="13"/>
  <c r="F212" i="13"/>
  <c r="F213" i="13"/>
  <c r="F214" i="13"/>
  <c r="F215" i="13"/>
  <c r="F216" i="13"/>
  <c r="F217" i="13"/>
  <c r="F218" i="13"/>
  <c r="F219" i="13"/>
  <c r="F220" i="13"/>
  <c r="F210" i="13"/>
  <c r="K11" i="1"/>
  <c r="K12" i="1"/>
  <c r="K15" i="1"/>
  <c r="K13" i="1"/>
  <c r="K14"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9" i="1" l="1"/>
  <c r="AB28" i="1"/>
  <c r="AA28" i="1" s="1"/>
  <c r="AA64" i="1"/>
  <c r="AB66" i="1"/>
  <c r="AB59" i="1"/>
  <c r="AB58" i="1"/>
  <c r="AB41" i="1"/>
  <c r="AB40" i="1"/>
  <c r="AA40" i="1" s="1"/>
  <c r="AB53" i="1"/>
  <c r="AB52" i="1"/>
  <c r="AA52" i="1" s="1"/>
  <c r="AA10" i="1"/>
  <c r="AB11" i="1"/>
  <c r="AB17" i="1"/>
  <c r="AB16" i="1"/>
  <c r="AA16" i="1" s="1"/>
  <c r="AB22" i="1"/>
  <c r="AA22" i="1" s="1"/>
  <c r="AB47" i="1"/>
  <c r="AB46" i="1"/>
  <c r="AA46" i="1" s="1"/>
  <c r="AB35" i="1"/>
  <c r="AB34" i="1"/>
  <c r="AA34" i="1" s="1"/>
  <c r="AB23" i="1" l="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24" i="1"/>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<sst xmlns="http://schemas.openxmlformats.org/spreadsheetml/2006/main" count="479" uniqueCount="317">
  <si>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</si>
  <si>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</si>
  <si>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</si>
  <si>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</si>
  <si>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</si>
  <si>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</si>
  <si>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</si>
  <si>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</si>
  <si>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</si>
  <si>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</si>
  <si>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</si>
  <si>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</si>
  <si>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</si>
  <si>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</si>
  <si>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</si>
  <si>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</si>
  <si>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</si>
  <si>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</si>
  <si>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</si>
  <si>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</si>
  <si>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</si>
  <si>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</si>
  <si>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</si>
  <si>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</si>
  <si>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</si>
  <si>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</si>
  <si>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</si>
  <si>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</si>
  <si>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</si>
  <si>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</si>
  <si>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</si>
  <si>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</si>
  <si>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</si>
  <si>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</si>
  <si>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</si>
  <si>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</si>
  <si>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</si>
  <si>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</si>
  <si>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</si>
  <si>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</si>
  <si>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</si>
  <si>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</si>
  <si>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</si>
  <si>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</si>
  <si>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</si>
  <si>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</si>
  <si>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</si>
  <si>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</si>
  <si>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</si>
  <si>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</si>
  <si>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</si>
  <si>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</si>
  <si>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</si>
  <si>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</si>
  <si>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</si>
  <si>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</si>
  <si>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</si>
  <si>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</si>
  <si>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</si>
  <si>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</si>
  <si>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</si>
  <si>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</si>
  <si>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</si>
  <si>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</si>
  <si>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</si>
  <si>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</si>
  <si>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</si>
  <si>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</si>
  <si>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</si>
  <si>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</si>
  <si>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</si>
  <si>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</si>
  <si>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</si>
  <si>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</si>
  <si>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</si>
  <si>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</si>
  <si>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</si>
  <si>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</si>
  <si>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</si>
  <si>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</si>
  <si>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</si>
  <si>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</si>
  <si>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</si>
  <si>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</si>
  <si>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</si>
  <si>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</si>
  <si>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</si>
  <si>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</si>
  <si>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</si>
  <si>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</si>
  <si>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</si>
  <si>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</si>
  <si>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</si>
  <si>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</si>
  <si>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</si>
  <si>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</si>
  <si>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</si>
  <si>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</si>
  <si>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</si>
  <si>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</si>
  <si>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</si>
  <si>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</si>
  <si>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</si>
  <si>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</si>
  <si>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</si>
  <si>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</si>
  <si>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</si>
  <si>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</si>
  <si>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</si>
  <si>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</si>
  <si>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</si>
  <si>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</si>
  <si>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</si>
  <si>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</si>
  <si>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</si>
  <si>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</si>
  <si>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</si>
  <si>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</si>
  <si>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</si>
  <si>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</si>
  <si>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</si>
  <si>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</si>
  <si>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</si>
  <si>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</si>
  <si>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</si>
  <si>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</si>
  <si>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</si>
  <si>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</si>
  <si>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</si>
  <si>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</si>
  <si>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</si>
  <si>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</si>
  <si>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</si>
  <si>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</si>
  <si>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</si>
  <si>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</si>
  <si>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</si>
  <si>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</si>
  <si>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</si>
  <si>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</si>
  <si>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</si>
  <si>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</si>
  <si>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</si>
  <si>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</si>
  <si>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</si>
  <si>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</si>
  <si>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</si>
  <si>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</si>
  <si>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</si>
  <si>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</si>
  <si>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</si>
  <si>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</si>
  <si>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</si>
  <si>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</si>
  <si>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</si>
  <si>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</si>
  <si>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</si>
  <si>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</si>
  <si>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</si>
  <si>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</si>
  <si>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</si>
  <si>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</si>
  <si>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</si>
  <si>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</si>
  <si>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</si>
  <si>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</si>
  <si>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</si>
  <si>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</si>
  <si>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</si>
  <si>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</si>
  <si>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</si>
  <si>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</si>
  <si>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</si>
  <si>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</si>
  <si>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</si>
  <si>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</si>
  <si>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</si>
  <si>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</si>
  <si>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</si>
  <si>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</si>
  <si>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</si>
  <si>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</si>
  <si>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</si>
  <si>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</si>
  <si>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</si>
  <si>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</si>
  <si>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</si>
  <si>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</si>
  <si>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</si>
  <si>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</si>
  <si>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</si>
  <si>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</si>
  <si>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</si>
  <si>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</si>
  <si>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</si>
  <si>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</si>
  <si>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</si>
  <si>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</si>
  <si>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</si>
  <si>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</si>
  <si>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</si>
  <si>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</si>
  <si>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</si>
  <si>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</si>
  <si>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</si>
  <si>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</si>
  <si>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</si>
  <si>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</si>
  <si>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</si>
  <si>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</si>
  <si>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</si>
  <si>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</si>
  <si>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</si>
  <si>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</si>
  <si>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</si>
  <si>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</si>
  <si>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</si>
  <si>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</si>
  <si>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</si>
  <si>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</si>
  <si>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</si>
  <si>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</si>
  <si>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</si>
  <si>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</si>
  <si>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</si>
  <si>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</si>
  <si>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</si>
  <si>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</si>
  <si>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</si>
  <si>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</si>
  <si>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</si>
  <si>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</si>
  <si>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</si>
  <si>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</si>
  <si>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</si>
  <si>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</si>
  <si>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</si>
  <si>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</si>
  <si>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</si>
  <si>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</si>
  <si>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</si>
  <si>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</si>
  <si>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</si>
  <si>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</si>
  <si>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</si>
  <si>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</si>
  <si>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</si>
  <si>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</si>
  <si>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</si>
  <si>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Act 2:</t>
  </si>
  <si>
    <t>Act 3:</t>
  </si>
  <si>
    <t>Act 4:</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</si>
  <si>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</si>
  <si>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</si>
  <si>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</si>
  <si>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</si>
  <si>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</si>
  <si>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</si>
  <si>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</si>
  <si>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</si>
  <si>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</si>
  <si>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</si>
  <si>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</si>
  <si>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</si>
  <si>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</si>
  <si>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</si>
  <si>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</si>
  <si>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</si>
  <si>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</si>
  <si>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</si>
  <si>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</si>
  <si>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Act 5:</t>
  </si>
  <si>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</si>
  <si>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</si>
  <si>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</si>
  <si>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</si>
  <si>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</si>
  <si>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Act 1:  participación</t>
  </si>
  <si>
    <t>Plan Institucional de Participación PIP</t>
  </si>
  <si>
    <t>PIP y  normatividad sobre Rendición de cuentas</t>
  </si>
  <si>
    <t>por investigación disicplinaria de entes de control y aumento de quejas y reclamos</t>
  </si>
  <si>
    <t>por investigación disicplinaria de entes de control y aumento de quejas y reclamos de los grupos de valor</t>
  </si>
  <si>
    <t>Gestión Social</t>
  </si>
  <si>
    <t>FECHA</t>
  </si>
  <si>
    <t>VERSIÓN</t>
  </si>
  <si>
    <t>CONTROL DE CAMBIOS</t>
  </si>
  <si>
    <t>1.0</t>
  </si>
  <si>
    <t xml:space="preserve">Asesorar en la formulación e implementación de los lineamientos de gestión social para una movilidad sostenible e incluyente, incorporando la participación de la ciudadanía.
</t>
  </si>
  <si>
    <t xml:space="preserve">Comprende la elaboración de estudios, diagnósticos. caracterizaciones, planes y estrategias y el seguimiento de su implementación en los proyectos, programas, políticas y acciones de movilidad.
</t>
  </si>
  <si>
    <t xml:space="preserve">Plan Institucional de Participación PIP
y  lineamientos de la veeduria distrital para el proceso de Rendición de Cuentas. </t>
  </si>
  <si>
    <t>por investigación disciplinaria  de entes de control y aumento de quejas y reclamos</t>
  </si>
  <si>
    <t>Caracterización  Proceso Gestión Social,  pm06-pr04 Procedimiento participacion ciudadana version 6.0 de 28-07-2022 , Plan Institucional de Participación Ciudadana (PIP)</t>
  </si>
  <si>
    <t>El equipo de Centros Locales de Movilidad a través de los gestores y orientadores, registran las solicitudes de la ciudadania  de manera permanente, dejando como registro el diligenciamiento PM06-PR01-F05 Formato Matriz de Reporte Acciones Implementación PIP.</t>
  </si>
  <si>
    <t>El equipo coordinador de los Centros locales de Movilidad realizan de manera permanente seguimiento al cumplimiento de los tiempos de  respuestas remitidas a la ciudadania, lo anterior se verificará por medio de un (1) acta  de seguimiento.</t>
  </si>
  <si>
    <t xml:space="preserve">Semestral </t>
  </si>
  <si>
    <t>Profesional Universitario Enlace Centros locales de Movilidad</t>
  </si>
  <si>
    <t>Profesional Universitario Enlace  
rendición de cuentas</t>
  </si>
  <si>
    <t xml:space="preserve">El equipo del Nodo Sector Movilidad Distrital publica semestralmente, informe preliminar evidenciando la gestión realizada en cada localidad, dejando como evidencia la publicación de este en la págína web de la SDM. </t>
  </si>
  <si>
    <t>El equipo del Nodo Sector Movilidad Distrital establece y publica anualmente  cronograma de ejecución de la rendición de cuentas locales, dejando como evidencia la publicación de este en la página web de la SDM.</t>
  </si>
  <si>
    <t xml:space="preserve">El equipo del Nodo Sector Movilidad Distrital  ejecuta durante el semestre la  programación  de los dialogos ciudadanos y las audiencias públicas de rendición de cuentas locales, dejando como evidencia invitaciones, listado de asistencia, presentaciones, registro fotográfico, sistematización de evaluaciones. </t>
  </si>
  <si>
    <t xml:space="preserve">El equipo del Nodo Sector Movilidad Distrital publica anualmente  informe final evidenciando la gestión realizada en cada localidad, dejando como evidencia la publicación de este en la págína web de la SDM. </t>
  </si>
  <si>
    <t>El equipo del Nodo Sector Movilidad Distrital  realiza seguimiento permanente a las solicitudes de la ciudadanía, dejando como evidencia la publicación en la página web de las solicitudes y respuestas.</t>
  </si>
  <si>
    <t>Realizar  una (1) acción de   cualificación semestralmente  al equipo de Centros locales de movilidad en  temas relacionados con el cumplimiento a las solicitudes de la ciudadania en terminos de ley, dejando como evidencia listado de asistencia.</t>
  </si>
  <si>
    <t>Realizar monitoreo semestral a las solicitudes y respuestas a la ciudadania  dejando como evidencia el diligenciamiento de la  "matriz de seguimiento  a solicitudes de la ciudadania" realizadas en el marco de las Rendiciones de Cuentas Locales.</t>
  </si>
  <si>
    <r>
      <t xml:space="preserve">Actualización  Objetivo y Alcance 
</t>
    </r>
    <r>
      <rPr>
        <b/>
        <sz val="11"/>
        <color theme="1"/>
        <rFont val="Calibri"/>
        <family val="2"/>
        <scheme val="minor"/>
      </rPr>
      <t>Riesgo 1:</t>
    </r>
    <r>
      <rPr>
        <sz val="11"/>
        <color theme="1"/>
        <rFont val="Calibri"/>
        <family val="2"/>
        <scheme val="minor"/>
      </rPr>
      <t xml:space="preserve">  Actualización  Cadena de valor , Clasificación del riesgo,  frecuencia.  
Mapa Final: Ajustes en redacción de controles 1 ,2, 3, 4, ajuste en la redacción Plan de Acción, identificación de Responsable,  ajuste Fecha Implementación, Ajustes en la evaluación del riesgo (Tipo).
</t>
    </r>
    <r>
      <rPr>
        <b/>
        <sz val="11"/>
        <color theme="1"/>
        <rFont val="Calibri"/>
        <family val="2"/>
        <scheme val="minor"/>
      </rPr>
      <t xml:space="preserve">Riesgo 2: </t>
    </r>
    <r>
      <rPr>
        <sz val="11"/>
        <color theme="1"/>
        <rFont val="Calibri"/>
        <family val="2"/>
        <scheme val="minor"/>
      </rPr>
      <t>Actualización de cambio de componente PAAC en  Causa Raíz y  Riesgo asociado, clasificación del riesgo, frecuencia.
Mapa Final: Ajustes en redacción de controles 1 ,2, 3, 4, ajuste en la redacción Plan de Acción, identificación de Responsable,  ajuste Fecha Implementación, Ajustes en la evaluación del riesgo (Tipo).</t>
    </r>
  </si>
  <si>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</si>
  <si>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 </t>
  </si>
  <si>
    <t xml:space="preserve">debido a la implementación de PIP fuera de los requerimientos normativos y procedimentales   </t>
  </si>
  <si>
    <t xml:space="preserve">31.03.2023 </t>
  </si>
  <si>
    <t>11.03.2024</t>
  </si>
  <si>
    <t>2.0</t>
  </si>
  <si>
    <t xml:space="preserve">debido  a la  realización de la rendición de cuentas locales del Nodo Sector Movilidad Distrital en las 20 localidades fuera los lineamientos de la veeduria distrital y acciones relacionadas en el componente 2 del PTEP. </t>
  </si>
  <si>
    <t xml:space="preserve">Posibilidad de afectación reputacional por investigación disciplinaria de entes de control y aumento de quejas y reclamos de los grupos de valor debido  a la  realización de la rendición de cuentas locales del Nodo Sector Movilidad Distrital en las 20 localidades fuera los lineamientos de la veeduria distrital y acciones relacionadas en el componente 2 del PTEP. </t>
  </si>
  <si>
    <t>El equipo coordinador de los Centros locales de Movilidad retroalimenta de manera Semestral  al equipo de los Centros Locales de Movilidad frente al cumplimiento de los tiempos de respuesta establecidos en los  terminos de ley, dejando como evidencia un (1) acta y listado de asistencia.</t>
  </si>
  <si>
    <t>El equipo coordinador de los Centros locales de Movilidad realiza trimestralmente informe de Agendas participativas de trabajo donde se evidencia el número de solicitudes y los tiempos de respuesta, dejando como registro informe trimestral.</t>
  </si>
  <si>
    <r>
      <rPr>
        <b/>
        <sz val="11"/>
        <color theme="1"/>
        <rFont val="Calibri"/>
        <family val="2"/>
        <scheme val="minor"/>
      </rPr>
      <t xml:space="preserve">Riesgo 1: </t>
    </r>
    <r>
      <rPr>
        <sz val="11"/>
        <color theme="1"/>
        <rFont val="Calibri"/>
        <family val="2"/>
        <scheme val="minor"/>
      </rPr>
      <t xml:space="preserve">Ajustes en la Descripción de los controles
Control 3: Se ajusta la periodicidad.
Control 4: Se ajusta la evidencia.
</t>
    </r>
    <r>
      <rPr>
        <b/>
        <sz val="11"/>
        <color theme="1"/>
        <rFont val="Calibri"/>
        <family val="2"/>
        <scheme val="minor"/>
      </rPr>
      <t xml:space="preserve">Riesgo 2: </t>
    </r>
    <r>
      <rPr>
        <sz val="11"/>
        <color theme="1"/>
        <rFont val="Calibri"/>
        <family val="2"/>
        <scheme val="minor"/>
      </rPr>
      <t>Actualización contexto, ajuste en el nombre de PAAC por PTEP.</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</si>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</sst>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16" borderId="33" xfId="0" applyFill="1" applyBorder="1"/>
    <xf numFmtId="0" fontId="0" fillId="15" borderId="34" xfId="0" applyFill="1" applyBorder="1" applyAlignment="1">
      <alignment horizontal="left"/>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xf>
    <xf numFmtId="0" fontId="0" fillId="0" borderId="77" xfId="0" applyBorder="1" applyAlignment="1">
      <alignment horizontal="center" vertical="center"/>
    </xf>
    <xf numFmtId="0" fontId="0" fillId="0" borderId="77" xfId="0" applyBorder="1" applyAlignment="1">
      <alignment horizontal="center" vertical="center" wrapText="1"/>
    </xf>
    <xf numFmtId="0" fontId="0" fillId="0" borderId="0" xfId="0" applyAlignment="1">
      <alignment horizontal="center" vertical="center"/>
    </xf>
    <xf numFmtId="0" fontId="0" fillId="0" borderId="76" xfId="0" applyBorder="1" applyAlignment="1">
      <alignment horizontal="center" vertical="center" wrapText="1"/>
    </xf>
    <xf numFmtId="0" fontId="0" fillId="0" borderId="33" xfId="0" applyBorder="1" applyAlignment="1">
      <alignment horizontal="center" wrapText="1"/>
    </xf>
    <xf numFmtId="14" fontId="1" fillId="0" borderId="2" xfId="0" applyNumberFormat="1" applyFont="1" applyBorder="1" applyAlignment="1" applyProtection="1">
      <alignment horizontal="center" vertical="center" wrapText="1"/>
      <protection locked="0"/>
    </xf>
    <xf numFmtId="0" fontId="1" fillId="0" borderId="0" xfId="0" applyFont="1" applyProtection="1">
      <protection locked="0"/>
    </xf>
    <xf numFmtId="0" fontId="0" fillId="16" borderId="77" xfId="0" applyFill="1" applyBorder="1" applyAlignment="1">
      <alignment horizontal="center"/>
    </xf>
    <xf numFmtId="0" fontId="0" fillId="0" borderId="81" xfId="0" applyBorder="1" applyAlignment="1">
      <alignment horizontal="center" vertical="center" wrapText="1"/>
    </xf>
    <xf numFmtId="0" fontId="16" fillId="0" borderId="77" xfId="0" applyFont="1" applyBorder="1" applyAlignment="1">
      <alignment horizontal="center" vertical="center" wrapText="1"/>
    </xf>
    <xf numFmtId="0" fontId="0" fillId="3" borderId="76" xfId="0" applyFill="1" applyBorder="1" applyAlignment="1">
      <alignment horizontal="center" wrapText="1"/>
    </xf>
    <xf numFmtId="0" fontId="0" fillId="3" borderId="33" xfId="0" applyFill="1" applyBorder="1" applyAlignment="1">
      <alignment horizontal="center" vertical="center"/>
    </xf>
    <xf numFmtId="0" fontId="0" fillId="3" borderId="77" xfId="0" applyFill="1" applyBorder="1" applyAlignment="1">
      <alignment horizontal="center" vertical="center"/>
    </xf>
    <xf numFmtId="0" fontId="0" fillId="3" borderId="77" xfId="0" applyFill="1" applyBorder="1" applyAlignment="1">
      <alignment horizontal="center" vertical="center" wrapText="1"/>
    </xf>
    <xf numFmtId="0" fontId="0" fillId="3" borderId="77" xfId="0" applyFill="1" applyBorder="1" applyAlignment="1">
      <alignment horizontal="center" wrapText="1"/>
    </xf>
    <xf numFmtId="0" fontId="0" fillId="0" borderId="33" xfId="0" applyBorder="1" applyAlignment="1">
      <alignment horizontal="center"/>
    </xf>
    <xf numFmtId="0" fontId="16" fillId="3" borderId="33" xfId="0" applyFont="1" applyFill="1" applyBorder="1" applyAlignment="1">
      <alignment horizontal="center" vertical="center"/>
    </xf>
    <xf numFmtId="0" fontId="0" fillId="0" borderId="33" xfId="0" applyBorder="1" applyAlignment="1">
      <alignment vertical="top" wrapText="1"/>
    </xf>
    <xf numFmtId="0" fontId="16" fillId="0" borderId="33" xfId="0" applyFont="1" applyBorder="1" applyAlignment="1">
      <alignment horizontal="center" vertical="center" wrapText="1"/>
    </xf>
    <xf numFmtId="0" fontId="16" fillId="0" borderId="33" xfId="0" applyFont="1" applyBorder="1" applyAlignment="1">
      <alignment horizontal="center" vertical="center"/>
    </xf>
    <xf numFmtId="0" fontId="0" fillId="0" borderId="33" xfId="0" applyBorder="1" applyAlignment="1">
      <alignment horizontal="left"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10/relationships/person" Target="persons/person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10/relationships/person" Target="persons/pers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1" zoomScale="110" zoomScaleNormal="110" workbookViewId="0">
      <selection activeCell="C16" sqref="C16:D16"/>
    </sheetView>
  </sheetViews>
  <sheetFormatPr baseColWidth="10" defaultColWidth="11.42578125"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68" t="s">
        <v>166</v>
      </c>
      <c r="C2" s="169"/>
      <c r="D2" s="169"/>
      <c r="E2" s="169"/>
      <c r="F2" s="169"/>
      <c r="G2" s="169"/>
      <c r="H2" s="170"/>
    </row>
    <row r="3" spans="2:8" x14ac:dyDescent="0.25">
      <c r="B3" s="98"/>
      <c r="C3" s="99"/>
      <c r="D3" s="99"/>
      <c r="E3" s="99"/>
      <c r="F3" s="99"/>
      <c r="G3" s="99"/>
      <c r="H3" s="100"/>
    </row>
    <row r="4" spans="2:8" ht="63" customHeight="1" x14ac:dyDescent="0.25">
      <c r="B4" s="171" t="s">
        <v>209</v>
      </c>
      <c r="C4" s="172"/>
      <c r="D4" s="172"/>
      <c r="E4" s="172"/>
      <c r="F4" s="172"/>
      <c r="G4" s="172"/>
      <c r="H4" s="173"/>
    </row>
    <row r="5" spans="2:8" ht="63" customHeight="1" x14ac:dyDescent="0.25">
      <c r="B5" s="174"/>
      <c r="C5" s="175"/>
      <c r="D5" s="175"/>
      <c r="E5" s="175"/>
      <c r="F5" s="175"/>
      <c r="G5" s="175"/>
      <c r="H5" s="176"/>
    </row>
    <row r="6" spans="2:8" ht="16.5" x14ac:dyDescent="0.25">
      <c r="B6" s="177" t="s">
        <v>164</v>
      </c>
      <c r="C6" s="178"/>
      <c r="D6" s="178"/>
      <c r="E6" s="178"/>
      <c r="F6" s="178"/>
      <c r="G6" s="178"/>
      <c r="H6" s="179"/>
    </row>
    <row r="7" spans="2:8" ht="95.25" customHeight="1" x14ac:dyDescent="0.25">
      <c r="B7" s="187" t="s">
        <v>169</v>
      </c>
      <c r="C7" s="188"/>
      <c r="D7" s="188"/>
      <c r="E7" s="188"/>
      <c r="F7" s="188"/>
      <c r="G7" s="188"/>
      <c r="H7" s="189"/>
    </row>
    <row r="8" spans="2:8" ht="16.5" x14ac:dyDescent="0.25">
      <c r="B8" s="134"/>
      <c r="C8" s="135"/>
      <c r="D8" s="135"/>
      <c r="E8" s="135"/>
      <c r="F8" s="135"/>
      <c r="G8" s="135"/>
      <c r="H8" s="136"/>
    </row>
    <row r="9" spans="2:8" ht="16.5" customHeight="1" x14ac:dyDescent="0.25">
      <c r="B9" s="180" t="s">
        <v>202</v>
      </c>
      <c r="C9" s="181"/>
      <c r="D9" s="181"/>
      <c r="E9" s="181"/>
      <c r="F9" s="181"/>
      <c r="G9" s="181"/>
      <c r="H9" s="182"/>
    </row>
    <row r="10" spans="2:8" ht="44.25" customHeight="1" x14ac:dyDescent="0.25">
      <c r="B10" s="180"/>
      <c r="C10" s="181"/>
      <c r="D10" s="181"/>
      <c r="E10" s="181"/>
      <c r="F10" s="181"/>
      <c r="G10" s="181"/>
      <c r="H10" s="182"/>
    </row>
    <row r="11" spans="2:8" ht="15.75" thickBot="1" x14ac:dyDescent="0.3">
      <c r="B11" s="123"/>
      <c r="C11" s="126"/>
      <c r="D11" s="131"/>
      <c r="E11" s="132"/>
      <c r="F11" s="132"/>
      <c r="G11" s="133"/>
      <c r="H11" s="127"/>
    </row>
    <row r="12" spans="2:8" ht="15.75" thickTop="1" x14ac:dyDescent="0.25">
      <c r="B12" s="123"/>
      <c r="C12" s="183" t="s">
        <v>165</v>
      </c>
      <c r="D12" s="184"/>
      <c r="E12" s="185" t="s">
        <v>203</v>
      </c>
      <c r="F12" s="186"/>
      <c r="G12" s="126"/>
      <c r="H12" s="127"/>
    </row>
    <row r="13" spans="2:8" ht="35.25" customHeight="1" x14ac:dyDescent="0.25">
      <c r="B13" s="123"/>
      <c r="C13" s="190" t="s">
        <v>196</v>
      </c>
      <c r="D13" s="191"/>
      <c r="E13" s="192" t="s">
        <v>201</v>
      </c>
      <c r="F13" s="193"/>
      <c r="G13" s="126"/>
      <c r="H13" s="127"/>
    </row>
    <row r="14" spans="2:8" ht="17.25" customHeight="1" x14ac:dyDescent="0.25">
      <c r="B14" s="123"/>
      <c r="C14" s="190" t="s">
        <v>197</v>
      </c>
      <c r="D14" s="191"/>
      <c r="E14" s="192" t="s">
        <v>199</v>
      </c>
      <c r="F14" s="193"/>
      <c r="G14" s="126"/>
      <c r="H14" s="127"/>
    </row>
    <row r="15" spans="2:8" ht="19.5" customHeight="1" x14ac:dyDescent="0.25">
      <c r="B15" s="123"/>
      <c r="C15" s="190" t="s">
        <v>198</v>
      </c>
      <c r="D15" s="191"/>
      <c r="E15" s="192" t="s">
        <v>200</v>
      </c>
      <c r="F15" s="193"/>
      <c r="G15" s="126"/>
      <c r="H15" s="127"/>
    </row>
    <row r="16" spans="2:8" ht="69.75" customHeight="1" x14ac:dyDescent="0.25">
      <c r="B16" s="123"/>
      <c r="C16" s="190" t="s">
        <v>167</v>
      </c>
      <c r="D16" s="191"/>
      <c r="E16" s="192" t="s">
        <v>168</v>
      </c>
      <c r="F16" s="193"/>
      <c r="G16" s="126"/>
      <c r="H16" s="127"/>
    </row>
    <row r="17" spans="2:8" ht="34.5" customHeight="1" x14ac:dyDescent="0.25">
      <c r="B17" s="123"/>
      <c r="C17" s="194" t="s">
        <v>2</v>
      </c>
      <c r="D17" s="195"/>
      <c r="E17" s="196" t="s">
        <v>210</v>
      </c>
      <c r="F17" s="197"/>
      <c r="G17" s="126"/>
      <c r="H17" s="127"/>
    </row>
    <row r="18" spans="2:8" ht="27.75" customHeight="1" x14ac:dyDescent="0.25">
      <c r="B18" s="123"/>
      <c r="C18" s="194" t="s">
        <v>3</v>
      </c>
      <c r="D18" s="195"/>
      <c r="E18" s="196" t="s">
        <v>211</v>
      </c>
      <c r="F18" s="197"/>
      <c r="G18" s="126"/>
      <c r="H18" s="127"/>
    </row>
    <row r="19" spans="2:8" ht="28.5" customHeight="1" x14ac:dyDescent="0.25">
      <c r="B19" s="123"/>
      <c r="C19" s="194" t="s">
        <v>42</v>
      </c>
      <c r="D19" s="195"/>
      <c r="E19" s="196" t="s">
        <v>212</v>
      </c>
      <c r="F19" s="197"/>
      <c r="G19" s="126"/>
      <c r="H19" s="127"/>
    </row>
    <row r="20" spans="2:8" ht="72.75" customHeight="1" x14ac:dyDescent="0.25">
      <c r="B20" s="123"/>
      <c r="C20" s="194" t="s">
        <v>1</v>
      </c>
      <c r="D20" s="195"/>
      <c r="E20" s="196" t="s">
        <v>213</v>
      </c>
      <c r="F20" s="197"/>
      <c r="G20" s="126"/>
      <c r="H20" s="127"/>
    </row>
    <row r="21" spans="2:8" ht="64.5" customHeight="1" x14ac:dyDescent="0.25">
      <c r="B21" s="123"/>
      <c r="C21" s="194" t="s">
        <v>50</v>
      </c>
      <c r="D21" s="195"/>
      <c r="E21" s="196" t="s">
        <v>171</v>
      </c>
      <c r="F21" s="197"/>
      <c r="G21" s="126"/>
      <c r="H21" s="127"/>
    </row>
    <row r="22" spans="2:8" ht="71.25" customHeight="1" x14ac:dyDescent="0.25">
      <c r="B22" s="123"/>
      <c r="C22" s="194" t="s">
        <v>170</v>
      </c>
      <c r="D22" s="195"/>
      <c r="E22" s="196" t="s">
        <v>172</v>
      </c>
      <c r="F22" s="197"/>
      <c r="G22" s="126"/>
      <c r="H22" s="127"/>
    </row>
    <row r="23" spans="2:8" ht="55.5" customHeight="1" x14ac:dyDescent="0.25">
      <c r="B23" s="123"/>
      <c r="C23" s="201" t="s">
        <v>173</v>
      </c>
      <c r="D23" s="202"/>
      <c r="E23" s="196" t="s">
        <v>174</v>
      </c>
      <c r="F23" s="197"/>
      <c r="G23" s="126"/>
      <c r="H23" s="127"/>
    </row>
    <row r="24" spans="2:8" ht="42" customHeight="1" x14ac:dyDescent="0.25">
      <c r="B24" s="123"/>
      <c r="C24" s="201" t="s">
        <v>48</v>
      </c>
      <c r="D24" s="202"/>
      <c r="E24" s="196" t="s">
        <v>175</v>
      </c>
      <c r="F24" s="197"/>
      <c r="G24" s="126"/>
      <c r="H24" s="127"/>
    </row>
    <row r="25" spans="2:8" ht="59.25" customHeight="1" x14ac:dyDescent="0.25">
      <c r="B25" s="123"/>
      <c r="C25" s="201" t="s">
        <v>163</v>
      </c>
      <c r="D25" s="202"/>
      <c r="E25" s="196" t="s">
        <v>176</v>
      </c>
      <c r="F25" s="197"/>
      <c r="G25" s="126"/>
      <c r="H25" s="127"/>
    </row>
    <row r="26" spans="2:8" ht="23.25" customHeight="1" x14ac:dyDescent="0.25">
      <c r="B26" s="123"/>
      <c r="C26" s="201" t="s">
        <v>12</v>
      </c>
      <c r="D26" s="202"/>
      <c r="E26" s="196" t="s">
        <v>177</v>
      </c>
      <c r="F26" s="197"/>
      <c r="G26" s="126"/>
      <c r="H26" s="127"/>
    </row>
    <row r="27" spans="2:8" ht="30.75" customHeight="1" x14ac:dyDescent="0.25">
      <c r="B27" s="123"/>
      <c r="C27" s="201" t="s">
        <v>181</v>
      </c>
      <c r="D27" s="202"/>
      <c r="E27" s="196" t="s">
        <v>178</v>
      </c>
      <c r="F27" s="197"/>
      <c r="G27" s="126"/>
      <c r="H27" s="127"/>
    </row>
    <row r="28" spans="2:8" ht="35.25" customHeight="1" x14ac:dyDescent="0.25">
      <c r="B28" s="123"/>
      <c r="C28" s="201" t="s">
        <v>182</v>
      </c>
      <c r="D28" s="202"/>
      <c r="E28" s="196" t="s">
        <v>179</v>
      </c>
      <c r="F28" s="197"/>
      <c r="G28" s="126"/>
      <c r="H28" s="127"/>
    </row>
    <row r="29" spans="2:8" ht="33" customHeight="1" x14ac:dyDescent="0.25">
      <c r="B29" s="123"/>
      <c r="C29" s="201" t="s">
        <v>182</v>
      </c>
      <c r="D29" s="202"/>
      <c r="E29" s="196" t="s">
        <v>179</v>
      </c>
      <c r="F29" s="197"/>
      <c r="G29" s="126"/>
      <c r="H29" s="127"/>
    </row>
    <row r="30" spans="2:8" ht="30" customHeight="1" x14ac:dyDescent="0.25">
      <c r="B30" s="123"/>
      <c r="C30" s="201" t="s">
        <v>183</v>
      </c>
      <c r="D30" s="202"/>
      <c r="E30" s="196" t="s">
        <v>180</v>
      </c>
      <c r="F30" s="197"/>
      <c r="G30" s="126"/>
      <c r="H30" s="127"/>
    </row>
    <row r="31" spans="2:8" ht="35.25" customHeight="1" x14ac:dyDescent="0.25">
      <c r="B31" s="123"/>
      <c r="C31" s="201" t="s">
        <v>184</v>
      </c>
      <c r="D31" s="202"/>
      <c r="E31" s="196" t="s">
        <v>185</v>
      </c>
      <c r="F31" s="197"/>
      <c r="G31" s="126"/>
      <c r="H31" s="127"/>
    </row>
    <row r="32" spans="2:8" ht="31.5" customHeight="1" x14ac:dyDescent="0.25">
      <c r="B32" s="123"/>
      <c r="C32" s="201" t="s">
        <v>186</v>
      </c>
      <c r="D32" s="202"/>
      <c r="E32" s="196" t="s">
        <v>187</v>
      </c>
      <c r="F32" s="197"/>
      <c r="G32" s="126"/>
      <c r="H32" s="127"/>
    </row>
    <row r="33" spans="2:8" ht="35.25" customHeight="1" x14ac:dyDescent="0.25">
      <c r="B33" s="123"/>
      <c r="C33" s="201" t="s">
        <v>188</v>
      </c>
      <c r="D33" s="202"/>
      <c r="E33" s="196" t="s">
        <v>189</v>
      </c>
      <c r="F33" s="197"/>
      <c r="G33" s="126"/>
      <c r="H33" s="127"/>
    </row>
    <row r="34" spans="2:8" ht="59.25" customHeight="1" x14ac:dyDescent="0.25">
      <c r="B34" s="123"/>
      <c r="C34" s="201" t="s">
        <v>190</v>
      </c>
      <c r="D34" s="202"/>
      <c r="E34" s="196" t="s">
        <v>191</v>
      </c>
      <c r="F34" s="197"/>
      <c r="G34" s="126"/>
      <c r="H34" s="127"/>
    </row>
    <row r="35" spans="2:8" ht="29.25" customHeight="1" x14ac:dyDescent="0.25">
      <c r="B35" s="123"/>
      <c r="C35" s="201" t="s">
        <v>29</v>
      </c>
      <c r="D35" s="202"/>
      <c r="E35" s="196" t="s">
        <v>192</v>
      </c>
      <c r="F35" s="197"/>
      <c r="G35" s="126"/>
      <c r="H35" s="127"/>
    </row>
    <row r="36" spans="2:8" ht="82.5" customHeight="1" x14ac:dyDescent="0.25">
      <c r="B36" s="123"/>
      <c r="C36" s="201" t="s">
        <v>194</v>
      </c>
      <c r="D36" s="202"/>
      <c r="E36" s="196" t="s">
        <v>193</v>
      </c>
      <c r="F36" s="197"/>
      <c r="G36" s="126"/>
      <c r="H36" s="127"/>
    </row>
    <row r="37" spans="2:8" ht="46.5" customHeight="1" x14ac:dyDescent="0.25">
      <c r="B37" s="123"/>
      <c r="C37" s="201" t="s">
        <v>39</v>
      </c>
      <c r="D37" s="202"/>
      <c r="E37" s="196" t="s">
        <v>195</v>
      </c>
      <c r="F37" s="197"/>
      <c r="G37" s="126"/>
      <c r="H37" s="127"/>
    </row>
    <row r="38" spans="2:8" ht="6.75" customHeight="1" thickBot="1" x14ac:dyDescent="0.3">
      <c r="B38" s="123"/>
      <c r="C38" s="203"/>
      <c r="D38" s="204"/>
      <c r="E38" s="205"/>
      <c r="F38" s="206"/>
      <c r="G38" s="126"/>
      <c r="H38" s="127"/>
    </row>
    <row r="39" spans="2:8" ht="15.75" thickTop="1" x14ac:dyDescent="0.25">
      <c r="B39" s="123"/>
      <c r="C39" s="124"/>
      <c r="D39" s="124"/>
      <c r="E39" s="125"/>
      <c r="F39" s="125"/>
      <c r="G39" s="126"/>
      <c r="H39" s="127"/>
    </row>
    <row r="40" spans="2:8" ht="21" customHeight="1" x14ac:dyDescent="0.25">
      <c r="B40" s="198" t="s">
        <v>204</v>
      </c>
      <c r="C40" s="199"/>
      <c r="D40" s="199"/>
      <c r="E40" s="199"/>
      <c r="F40" s="199"/>
      <c r="G40" s="199"/>
      <c r="H40" s="200"/>
    </row>
    <row r="41" spans="2:8" ht="20.25" customHeight="1" x14ac:dyDescent="0.25">
      <c r="B41" s="198" t="s">
        <v>205</v>
      </c>
      <c r="C41" s="199"/>
      <c r="D41" s="199"/>
      <c r="E41" s="199"/>
      <c r="F41" s="199"/>
      <c r="G41" s="199"/>
      <c r="H41" s="200"/>
    </row>
    <row r="42" spans="2:8" ht="20.25" customHeight="1" x14ac:dyDescent="0.25">
      <c r="B42" s="198" t="s">
        <v>206</v>
      </c>
      <c r="C42" s="199"/>
      <c r="D42" s="199"/>
      <c r="E42" s="199"/>
      <c r="F42" s="199"/>
      <c r="G42" s="199"/>
      <c r="H42" s="200"/>
    </row>
    <row r="43" spans="2:8" ht="20.25" customHeight="1" x14ac:dyDescent="0.25">
      <c r="B43" s="198" t="s">
        <v>207</v>
      </c>
      <c r="C43" s="199"/>
      <c r="D43" s="199"/>
      <c r="E43" s="199"/>
      <c r="F43" s="199"/>
      <c r="G43" s="199"/>
      <c r="H43" s="200"/>
    </row>
    <row r="44" spans="2:8" x14ac:dyDescent="0.25">
      <c r="B44" s="198" t="s">
        <v>208</v>
      </c>
      <c r="C44" s="199"/>
      <c r="D44" s="199"/>
      <c r="E44" s="199"/>
      <c r="F44" s="199"/>
      <c r="G44" s="199"/>
      <c r="H44" s="200"/>
    </row>
    <row r="45" spans="2:8" ht="15.75" thickBot="1" x14ac:dyDescent="0.3">
      <c r="B45" s="128"/>
      <c r="C45" s="129"/>
      <c r="D45" s="129"/>
      <c r="E45" s="129"/>
      <c r="F45" s="129"/>
      <c r="G45" s="129"/>
      <c r="H45" s="130"/>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election activeCell="E10" sqref="E10"/>
    </sheetView>
  </sheetViews>
  <sheetFormatPr baseColWidth="10" defaultRowHeight="15" x14ac:dyDescent="0.25"/>
  <cols>
    <col min="4" max="4" width="67.28515625" customWidth="1"/>
  </cols>
  <sheetData>
    <row r="3" spans="2:4" x14ac:dyDescent="0.25">
      <c r="B3" s="162" t="s">
        <v>283</v>
      </c>
      <c r="C3" s="162" t="s">
        <v>284</v>
      </c>
      <c r="D3" s="162" t="s">
        <v>285</v>
      </c>
    </row>
    <row r="4" spans="2:4" ht="174.75" customHeight="1" x14ac:dyDescent="0.25">
      <c r="B4" s="146" t="s">
        <v>308</v>
      </c>
      <c r="C4" s="146" t="s">
        <v>286</v>
      </c>
      <c r="D4" s="164" t="s">
        <v>304</v>
      </c>
    </row>
    <row r="5" spans="2:4" ht="97.5" customHeight="1" x14ac:dyDescent="0.25">
      <c r="B5" s="146" t="s">
        <v>309</v>
      </c>
      <c r="C5" s="146" t="s">
        <v>310</v>
      </c>
      <c r="D5" s="167" t="s">
        <v>315</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5"/>
  <sheetViews>
    <sheetView topLeftCell="C1" zoomScaleNormal="100" workbookViewId="0">
      <selection activeCell="H8" sqref="H8"/>
    </sheetView>
  </sheetViews>
  <sheetFormatPr baseColWidth="10" defaultRowHeight="15" x14ac:dyDescent="0.25"/>
  <cols>
    <col min="1" max="1" width="38.42578125" customWidth="1"/>
    <col min="2" max="4" width="42.85546875" customWidth="1"/>
    <col min="5" max="5" width="16.42578125" customWidth="1"/>
    <col min="6" max="6" width="20.7109375" customWidth="1"/>
    <col min="7" max="7" width="27.85546875" customWidth="1"/>
    <col min="8" max="8" width="59.140625" customWidth="1"/>
    <col min="9" max="9" width="27.28515625" customWidth="1"/>
    <col min="10" max="10" width="15.5703125" customWidth="1"/>
  </cols>
  <sheetData>
    <row r="2" spans="1:43" x14ac:dyDescent="0.25">
      <c r="A2" s="213" t="s">
        <v>247</v>
      </c>
      <c r="B2" s="213"/>
      <c r="C2" s="213"/>
      <c r="D2" s="213"/>
      <c r="E2" s="213"/>
      <c r="F2" s="213"/>
      <c r="G2" s="213"/>
      <c r="H2" s="213"/>
      <c r="I2" s="213"/>
      <c r="J2" s="213"/>
    </row>
    <row r="3" spans="1:43" x14ac:dyDescent="0.25">
      <c r="A3" s="143" t="s">
        <v>248</v>
      </c>
      <c r="B3" s="143" t="s">
        <v>277</v>
      </c>
      <c r="C3" s="143" t="s">
        <v>249</v>
      </c>
      <c r="D3" s="143" t="s">
        <v>250</v>
      </c>
      <c r="E3" s="210" t="s">
        <v>251</v>
      </c>
      <c r="F3" s="211"/>
      <c r="G3" s="212"/>
      <c r="H3" s="143" t="s">
        <v>271</v>
      </c>
      <c r="I3" s="210" t="s">
        <v>275</v>
      </c>
      <c r="J3" s="211"/>
    </row>
    <row r="4" spans="1:43" x14ac:dyDescent="0.25">
      <c r="A4" s="207" t="s">
        <v>234</v>
      </c>
      <c r="B4" s="208"/>
      <c r="C4" s="208"/>
      <c r="D4" s="209"/>
      <c r="E4" s="207" t="s">
        <v>272</v>
      </c>
      <c r="F4" s="208"/>
      <c r="G4" s="208"/>
      <c r="H4" s="209"/>
      <c r="I4" s="142"/>
      <c r="J4" s="142"/>
    </row>
    <row r="5" spans="1:43" x14ac:dyDescent="0.25">
      <c r="A5" s="139" t="s">
        <v>214</v>
      </c>
      <c r="B5" s="139" t="s">
        <v>215</v>
      </c>
      <c r="C5" s="139" t="s">
        <v>242</v>
      </c>
      <c r="D5" s="139" t="s">
        <v>243</v>
      </c>
      <c r="E5" s="139" t="s">
        <v>253</v>
      </c>
      <c r="F5" s="139" t="s">
        <v>254</v>
      </c>
      <c r="G5" s="139" t="s">
        <v>255</v>
      </c>
      <c r="H5" s="139" t="s">
        <v>216</v>
      </c>
      <c r="I5" s="139" t="s">
        <v>262</v>
      </c>
      <c r="J5" s="139" t="s">
        <v>273</v>
      </c>
      <c r="AN5" t="s">
        <v>256</v>
      </c>
      <c r="AQ5" t="s">
        <v>217</v>
      </c>
    </row>
    <row r="6" spans="1:43" x14ac:dyDescent="0.25">
      <c r="A6" s="139"/>
      <c r="B6" s="139"/>
      <c r="C6" s="139"/>
      <c r="D6" s="139"/>
      <c r="E6" s="154"/>
      <c r="F6" s="154"/>
      <c r="G6" s="154"/>
      <c r="H6" s="154"/>
      <c r="I6" s="139"/>
      <c r="J6" s="139"/>
    </row>
    <row r="7" spans="1:43" s="149" customFormat="1" ht="155.25" customHeight="1" x14ac:dyDescent="0.25">
      <c r="A7" s="144" t="s">
        <v>241</v>
      </c>
      <c r="B7" s="145" t="s">
        <v>217</v>
      </c>
      <c r="C7" s="146" t="s">
        <v>278</v>
      </c>
      <c r="D7" s="144" t="s">
        <v>291</v>
      </c>
      <c r="E7" s="147" t="s">
        <v>257</v>
      </c>
      <c r="F7" s="148" t="s">
        <v>290</v>
      </c>
      <c r="G7" s="148" t="s">
        <v>305</v>
      </c>
      <c r="H7" s="156" t="s">
        <v>306</v>
      </c>
      <c r="I7" s="144" t="s">
        <v>263</v>
      </c>
      <c r="J7" s="163">
        <v>940</v>
      </c>
      <c r="K7" s="145"/>
      <c r="AN7" s="149" t="s">
        <v>257</v>
      </c>
      <c r="AQ7" s="149" t="s">
        <v>218</v>
      </c>
    </row>
    <row r="8" spans="1:43" ht="120" x14ac:dyDescent="0.25">
      <c r="A8" s="144" t="s">
        <v>241</v>
      </c>
      <c r="B8" s="150" t="s">
        <v>217</v>
      </c>
      <c r="C8" s="144" t="s">
        <v>289</v>
      </c>
      <c r="D8" s="144" t="s">
        <v>279</v>
      </c>
      <c r="E8" s="147" t="s">
        <v>257</v>
      </c>
      <c r="F8" s="148" t="s">
        <v>281</v>
      </c>
      <c r="G8" s="156" t="s">
        <v>311</v>
      </c>
      <c r="H8" s="156" t="s">
        <v>312</v>
      </c>
      <c r="I8" s="165" t="s">
        <v>263</v>
      </c>
      <c r="J8" s="166">
        <v>26</v>
      </c>
      <c r="K8" s="155"/>
      <c r="AN8" t="s">
        <v>258</v>
      </c>
      <c r="AQ8" t="s">
        <v>219</v>
      </c>
    </row>
    <row r="9" spans="1:43" x14ac:dyDescent="0.25">
      <c r="A9" s="151"/>
      <c r="B9" s="157"/>
      <c r="C9" s="158"/>
      <c r="D9" s="158"/>
      <c r="E9" s="159"/>
      <c r="F9" s="160"/>
      <c r="G9" s="160"/>
      <c r="H9" s="161"/>
      <c r="I9" s="144"/>
      <c r="J9" s="146"/>
      <c r="K9" s="155"/>
      <c r="AQ9" t="s">
        <v>220</v>
      </c>
    </row>
    <row r="10" spans="1:43" x14ac:dyDescent="0.25">
      <c r="A10" s="138"/>
      <c r="B10" s="140"/>
      <c r="C10" s="138"/>
      <c r="D10" s="138"/>
      <c r="E10" s="141"/>
      <c r="F10" s="141"/>
      <c r="G10" s="141"/>
      <c r="H10" s="141"/>
      <c r="I10" s="138"/>
      <c r="J10" s="138"/>
      <c r="AQ10" t="s">
        <v>221</v>
      </c>
    </row>
    <row r="11" spans="1:43" x14ac:dyDescent="0.25">
      <c r="A11" s="138"/>
      <c r="B11" s="140"/>
      <c r="C11" s="138"/>
      <c r="D11" s="138"/>
      <c r="E11" s="141"/>
      <c r="F11" s="141"/>
      <c r="G11" s="148"/>
      <c r="H11" s="156"/>
      <c r="I11" s="138"/>
      <c r="J11" s="138"/>
      <c r="AN11" t="s">
        <v>263</v>
      </c>
      <c r="AQ11" t="s">
        <v>222</v>
      </c>
    </row>
    <row r="12" spans="1:43" x14ac:dyDescent="0.25">
      <c r="A12" s="138"/>
      <c r="B12" s="140"/>
      <c r="C12" s="138"/>
      <c r="D12" s="138"/>
      <c r="E12" s="141"/>
      <c r="F12" s="141"/>
      <c r="G12" s="141"/>
      <c r="H12" s="141"/>
      <c r="I12" s="138"/>
      <c r="J12" s="138"/>
      <c r="AN12" t="s">
        <v>264</v>
      </c>
      <c r="AQ12" t="s">
        <v>223</v>
      </c>
    </row>
    <row r="13" spans="1:43" x14ac:dyDescent="0.25">
      <c r="A13" s="138"/>
      <c r="B13" s="140"/>
      <c r="C13" s="138"/>
      <c r="D13" s="138"/>
      <c r="E13" s="141"/>
      <c r="F13" s="141"/>
      <c r="G13" s="141"/>
      <c r="H13" s="141"/>
      <c r="I13" s="138"/>
      <c r="J13" s="138"/>
      <c r="AN13" t="s">
        <v>265</v>
      </c>
      <c r="AQ13" t="s">
        <v>224</v>
      </c>
    </row>
    <row r="14" spans="1:43" x14ac:dyDescent="0.25">
      <c r="A14" s="138"/>
      <c r="B14" s="140"/>
      <c r="C14" s="138"/>
      <c r="D14" s="138"/>
      <c r="E14" s="141"/>
      <c r="F14" s="141"/>
      <c r="G14" s="141"/>
      <c r="H14" s="141"/>
      <c r="I14" s="138"/>
      <c r="J14" s="138"/>
      <c r="AN14" t="s">
        <v>266</v>
      </c>
      <c r="AQ14" t="s">
        <v>225</v>
      </c>
    </row>
    <row r="15" spans="1:43" x14ac:dyDescent="0.25">
      <c r="A15" s="138"/>
      <c r="B15" s="140"/>
      <c r="C15" s="138"/>
      <c r="D15" s="138"/>
      <c r="E15" s="141"/>
      <c r="F15" s="141"/>
      <c r="G15" s="141"/>
      <c r="H15" s="141"/>
      <c r="I15" s="138"/>
      <c r="J15" s="138"/>
      <c r="AN15" t="s">
        <v>267</v>
      </c>
      <c r="AQ15" s="137" t="s">
        <v>226</v>
      </c>
    </row>
    <row r="16" spans="1:43" x14ac:dyDescent="0.25">
      <c r="A16" s="138"/>
      <c r="B16" s="140"/>
      <c r="C16" s="138"/>
      <c r="D16" s="138"/>
      <c r="E16" s="141"/>
      <c r="F16" s="141"/>
      <c r="G16" s="141"/>
      <c r="H16" s="141"/>
      <c r="I16" s="138"/>
      <c r="J16" s="138"/>
      <c r="AN16" t="s">
        <v>268</v>
      </c>
      <c r="AQ16" t="s">
        <v>227</v>
      </c>
    </row>
    <row r="17" spans="1:43" x14ac:dyDescent="0.25">
      <c r="A17" s="138"/>
      <c r="B17" s="140"/>
      <c r="C17" s="138"/>
      <c r="D17" s="138"/>
      <c r="E17" s="141"/>
      <c r="F17" s="141"/>
      <c r="G17" s="141"/>
      <c r="H17" s="141"/>
      <c r="I17" s="138"/>
      <c r="J17" s="138"/>
      <c r="AN17" t="s">
        <v>269</v>
      </c>
      <c r="AQ17" t="s">
        <v>228</v>
      </c>
    </row>
    <row r="18" spans="1:43" x14ac:dyDescent="0.25">
      <c r="A18" s="138"/>
      <c r="B18" s="140"/>
      <c r="C18" s="138"/>
      <c r="D18" s="138"/>
      <c r="E18" s="141"/>
      <c r="F18" s="141"/>
      <c r="G18" s="141"/>
      <c r="H18" s="141"/>
      <c r="I18" s="138"/>
      <c r="J18" s="138"/>
      <c r="AQ18" t="s">
        <v>229</v>
      </c>
    </row>
    <row r="19" spans="1:43" x14ac:dyDescent="0.25">
      <c r="A19" s="138"/>
      <c r="B19" s="140"/>
      <c r="C19" s="138"/>
      <c r="D19" s="138"/>
      <c r="E19" s="141"/>
      <c r="F19" s="141"/>
      <c r="G19" s="141"/>
      <c r="H19" s="141"/>
      <c r="I19" s="138"/>
      <c r="J19" s="138"/>
      <c r="AQ19" t="s">
        <v>230</v>
      </c>
    </row>
    <row r="20" spans="1:43" x14ac:dyDescent="0.25">
      <c r="A20" s="138"/>
      <c r="B20" s="140"/>
      <c r="C20" s="138"/>
      <c r="D20" s="138"/>
      <c r="E20" s="141"/>
      <c r="F20" s="141"/>
      <c r="G20" s="141"/>
      <c r="H20" s="141"/>
      <c r="I20" s="138"/>
      <c r="J20" s="138"/>
      <c r="AQ20" s="137" t="s">
        <v>231</v>
      </c>
    </row>
    <row r="21" spans="1:43" x14ac:dyDescent="0.25">
      <c r="A21" s="138"/>
      <c r="B21" s="140"/>
      <c r="C21" s="138"/>
      <c r="D21" s="138"/>
      <c r="E21" s="141"/>
      <c r="F21" s="141"/>
      <c r="G21" s="141"/>
      <c r="H21" s="141"/>
      <c r="I21" s="138"/>
      <c r="J21" s="138"/>
      <c r="AQ21" t="s">
        <v>232</v>
      </c>
    </row>
    <row r="22" spans="1:43" x14ac:dyDescent="0.25">
      <c r="A22" s="138"/>
      <c r="B22" s="140"/>
      <c r="C22" s="138"/>
      <c r="D22" s="138"/>
      <c r="E22" s="141"/>
      <c r="F22" s="141"/>
      <c r="G22" s="141"/>
      <c r="H22" s="141"/>
      <c r="I22" s="138"/>
      <c r="J22" s="138"/>
      <c r="AQ22" t="s">
        <v>233</v>
      </c>
    </row>
    <row r="23" spans="1:43" x14ac:dyDescent="0.25">
      <c r="A23" s="138"/>
      <c r="B23" s="140"/>
      <c r="C23" s="138"/>
      <c r="D23" s="138"/>
      <c r="E23" s="141"/>
      <c r="F23" s="141"/>
      <c r="G23" s="141"/>
      <c r="H23" s="141"/>
      <c r="I23" s="138"/>
      <c r="J23" s="138"/>
    </row>
    <row r="24" spans="1:43" x14ac:dyDescent="0.25">
      <c r="A24" s="138"/>
      <c r="B24" s="140"/>
      <c r="C24" s="138"/>
      <c r="D24" s="138"/>
      <c r="E24" s="141"/>
      <c r="F24" s="141"/>
      <c r="G24" s="141"/>
      <c r="H24" s="141"/>
      <c r="I24" s="138"/>
      <c r="J24" s="138"/>
    </row>
    <row r="25" spans="1:43" x14ac:dyDescent="0.25">
      <c r="C25" s="138"/>
      <c r="D25" s="138"/>
      <c r="AQ25" t="s">
        <v>235</v>
      </c>
    </row>
    <row r="26" spans="1:43" x14ac:dyDescent="0.25">
      <c r="A26" t="s">
        <v>244</v>
      </c>
      <c r="AQ26" t="s">
        <v>236</v>
      </c>
    </row>
    <row r="27" spans="1:43" x14ac:dyDescent="0.25">
      <c r="A27" t="s">
        <v>245</v>
      </c>
      <c r="AQ27" t="s">
        <v>237</v>
      </c>
    </row>
    <row r="28" spans="1:43" x14ac:dyDescent="0.25">
      <c r="A28" t="s">
        <v>276</v>
      </c>
      <c r="AQ28" t="s">
        <v>238</v>
      </c>
    </row>
    <row r="29" spans="1:43" x14ac:dyDescent="0.25">
      <c r="A29" t="s">
        <v>246</v>
      </c>
      <c r="AQ29" t="s">
        <v>239</v>
      </c>
    </row>
    <row r="30" spans="1:43" x14ac:dyDescent="0.25">
      <c r="A30" t="s">
        <v>252</v>
      </c>
      <c r="AQ30" t="s">
        <v>240</v>
      </c>
    </row>
    <row r="31" spans="1:43" x14ac:dyDescent="0.25">
      <c r="A31" t="s">
        <v>259</v>
      </c>
      <c r="AQ31" t="s">
        <v>241</v>
      </c>
    </row>
    <row r="32" spans="1:43" x14ac:dyDescent="0.25">
      <c r="A32" t="s">
        <v>260</v>
      </c>
    </row>
    <row r="33" spans="1:1" x14ac:dyDescent="0.25">
      <c r="A33" t="s">
        <v>261</v>
      </c>
    </row>
    <row r="34" spans="1:1" x14ac:dyDescent="0.25">
      <c r="A34" t="s">
        <v>270</v>
      </c>
    </row>
    <row r="35" spans="1:1" x14ac:dyDescent="0.25">
      <c r="A35" t="s">
        <v>274</v>
      </c>
    </row>
  </sheetData>
  <mergeCells count="5">
    <mergeCell ref="A4:D4"/>
    <mergeCell ref="E3:G3"/>
    <mergeCell ref="E4:H4"/>
    <mergeCell ref="I3:J3"/>
    <mergeCell ref="A2:J2"/>
  </mergeCells>
  <dataValidations count="4">
    <dataValidation type="list" allowBlank="1" showInputMessage="1" showErrorMessage="1" sqref="A7:A24">
      <formula1>$AQ$25:$AQ$31</formula1>
    </dataValidation>
    <dataValidation type="list" allowBlank="1" showInputMessage="1" showErrorMessage="1" sqref="A7 B7:B24">
      <formula1>$AQ$5:$AQ$22</formula1>
    </dataValidation>
    <dataValidation type="list" allowBlank="1" showInputMessage="1" showErrorMessage="1" sqref="E7:E24">
      <formula1>$AN$5:$AN$8</formula1>
    </dataValidation>
    <dataValidation type="list" allowBlank="1" showInputMessage="1" showErrorMessage="1" sqref="I7:I24">
      <formula1>$AN$11:$AN$17</formula1>
    </dataValidation>
  </dataValidations>
  <pageMargins left="0.7" right="0.7" top="0.75" bottom="0.75" header="0.3" footer="0.3"/>
  <pageSetup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55" zoomScaleNormal="55" workbookViewId="0">
      <selection activeCell="AH16" sqref="AH16:AJ16"/>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61" t="s">
        <v>144</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3"/>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64"/>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6"/>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47" t="s">
        <v>43</v>
      </c>
      <c r="B4" s="248"/>
      <c r="C4" s="259" t="s">
        <v>282</v>
      </c>
      <c r="D4" s="255"/>
      <c r="E4" s="255"/>
      <c r="F4" s="255"/>
      <c r="G4" s="255"/>
      <c r="H4" s="255"/>
      <c r="I4" s="255"/>
      <c r="J4" s="255"/>
      <c r="K4" s="255"/>
      <c r="L4" s="255"/>
      <c r="M4" s="255"/>
      <c r="N4" s="256"/>
      <c r="O4" s="260"/>
      <c r="P4" s="260"/>
      <c r="Q4" s="260"/>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47" t="s">
        <v>130</v>
      </c>
      <c r="B5" s="248"/>
      <c r="C5" s="254" t="s">
        <v>287</v>
      </c>
      <c r="D5" s="255"/>
      <c r="E5" s="255"/>
      <c r="F5" s="255"/>
      <c r="G5" s="255"/>
      <c r="H5" s="255"/>
      <c r="I5" s="255"/>
      <c r="J5" s="255"/>
      <c r="K5" s="255"/>
      <c r="L5" s="255"/>
      <c r="M5" s="255"/>
      <c r="N5" s="256"/>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47" t="s">
        <v>44</v>
      </c>
      <c r="B6" s="248"/>
      <c r="C6" s="254" t="s">
        <v>288</v>
      </c>
      <c r="D6" s="257"/>
      <c r="E6" s="257"/>
      <c r="F6" s="257"/>
      <c r="G6" s="257"/>
      <c r="H6" s="257"/>
      <c r="I6" s="257"/>
      <c r="J6" s="257"/>
      <c r="K6" s="257"/>
      <c r="L6" s="257"/>
      <c r="M6" s="257"/>
      <c r="N6" s="25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67" t="s">
        <v>139</v>
      </c>
      <c r="B7" s="268"/>
      <c r="C7" s="268"/>
      <c r="D7" s="268"/>
      <c r="E7" s="268"/>
      <c r="F7" s="268"/>
      <c r="G7" s="269"/>
      <c r="H7" s="267" t="s">
        <v>140</v>
      </c>
      <c r="I7" s="268"/>
      <c r="J7" s="268"/>
      <c r="K7" s="268"/>
      <c r="L7" s="268"/>
      <c r="M7" s="268"/>
      <c r="N7" s="269"/>
      <c r="O7" s="267" t="s">
        <v>141</v>
      </c>
      <c r="P7" s="268"/>
      <c r="Q7" s="268"/>
      <c r="R7" s="268"/>
      <c r="S7" s="268"/>
      <c r="T7" s="268"/>
      <c r="U7" s="268"/>
      <c r="V7" s="268"/>
      <c r="W7" s="269"/>
      <c r="X7" s="267" t="s">
        <v>142</v>
      </c>
      <c r="Y7" s="268"/>
      <c r="Z7" s="268"/>
      <c r="AA7" s="268"/>
      <c r="AB7" s="268"/>
      <c r="AC7" s="268"/>
      <c r="AD7" s="269"/>
      <c r="AE7" s="267" t="s">
        <v>34</v>
      </c>
      <c r="AF7" s="268"/>
      <c r="AG7" s="268"/>
      <c r="AH7" s="268"/>
      <c r="AI7" s="268"/>
      <c r="AJ7" s="269"/>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49" t="s">
        <v>0</v>
      </c>
      <c r="B8" s="245" t="s">
        <v>2</v>
      </c>
      <c r="C8" s="239" t="s">
        <v>3</v>
      </c>
      <c r="D8" s="239" t="s">
        <v>42</v>
      </c>
      <c r="E8" s="251" t="s">
        <v>1</v>
      </c>
      <c r="F8" s="246" t="s">
        <v>50</v>
      </c>
      <c r="G8" s="239" t="s">
        <v>135</v>
      </c>
      <c r="H8" s="241" t="s">
        <v>33</v>
      </c>
      <c r="I8" s="242" t="s">
        <v>5</v>
      </c>
      <c r="J8" s="246" t="s">
        <v>87</v>
      </c>
      <c r="K8" s="246" t="s">
        <v>92</v>
      </c>
      <c r="L8" s="244" t="s">
        <v>45</v>
      </c>
      <c r="M8" s="242" t="s">
        <v>5</v>
      </c>
      <c r="N8" s="239" t="s">
        <v>48</v>
      </c>
      <c r="O8" s="252" t="s">
        <v>11</v>
      </c>
      <c r="P8" s="240" t="s">
        <v>163</v>
      </c>
      <c r="Q8" s="246" t="s">
        <v>12</v>
      </c>
      <c r="R8" s="240" t="s">
        <v>8</v>
      </c>
      <c r="S8" s="240"/>
      <c r="T8" s="240"/>
      <c r="U8" s="240"/>
      <c r="V8" s="240"/>
      <c r="W8" s="240"/>
      <c r="X8" s="238" t="s">
        <v>138</v>
      </c>
      <c r="Y8" s="238" t="s">
        <v>46</v>
      </c>
      <c r="Z8" s="238" t="s">
        <v>5</v>
      </c>
      <c r="AA8" s="238" t="s">
        <v>47</v>
      </c>
      <c r="AB8" s="238" t="s">
        <v>5</v>
      </c>
      <c r="AC8" s="238" t="s">
        <v>49</v>
      </c>
      <c r="AD8" s="252"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0"/>
      <c r="B9" s="245"/>
      <c r="C9" s="240"/>
      <c r="D9" s="240"/>
      <c r="E9" s="245"/>
      <c r="F9" s="239"/>
      <c r="G9" s="240"/>
      <c r="H9" s="239"/>
      <c r="I9" s="243"/>
      <c r="J9" s="239"/>
      <c r="K9" s="239"/>
      <c r="L9" s="243"/>
      <c r="M9" s="243"/>
      <c r="N9" s="240"/>
      <c r="O9" s="253"/>
      <c r="P9" s="240"/>
      <c r="Q9" s="239"/>
      <c r="R9" s="7" t="s">
        <v>13</v>
      </c>
      <c r="S9" s="7" t="s">
        <v>17</v>
      </c>
      <c r="T9" s="7" t="s">
        <v>28</v>
      </c>
      <c r="U9" s="7" t="s">
        <v>18</v>
      </c>
      <c r="V9" s="7" t="s">
        <v>21</v>
      </c>
      <c r="W9" s="7" t="s">
        <v>24</v>
      </c>
      <c r="X9" s="238"/>
      <c r="Y9" s="238"/>
      <c r="Z9" s="238"/>
      <c r="AA9" s="238"/>
      <c r="AB9" s="238"/>
      <c r="AC9" s="238"/>
      <c r="AD9" s="253"/>
      <c r="AE9" s="240"/>
      <c r="AF9" s="240"/>
      <c r="AG9" s="240"/>
      <c r="AH9" s="240"/>
      <c r="AI9" s="240"/>
      <c r="AJ9" s="240"/>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3">
        <v>1</v>
      </c>
      <c r="B10" s="214" t="s">
        <v>132</v>
      </c>
      <c r="C10" s="214" t="s">
        <v>280</v>
      </c>
      <c r="D10" s="214" t="s">
        <v>307</v>
      </c>
      <c r="E10" s="226" t="s">
        <v>306</v>
      </c>
      <c r="F10" s="214" t="s">
        <v>123</v>
      </c>
      <c r="G10" s="217">
        <v>940</v>
      </c>
      <c r="H10" s="220" t="str">
        <f>IF(G10&lt;=0,"",IF(G10&lt;=2,"Muy Baja",IF(G10&lt;=24,"Baja",IF(G10&lt;=500,"Media",IF(G10&lt;=5000,"Alta","Muy Alta")))))</f>
        <v>Alta</v>
      </c>
      <c r="I10" s="232">
        <f>IF(H10="","",IF(H10="Muy Baja",0.2,IF(H10="Baja",0.4,IF(H10="Media",0.6,IF(H10="Alta",0.8,IF(H10="Muy Alta",1,))))))</f>
        <v>0.8</v>
      </c>
      <c r="J10" s="235" t="s">
        <v>156</v>
      </c>
      <c r="K10" s="232"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20" t="str">
        <f>IF(OR(K10='Tabla Impacto'!$C$11,K10='Tabla Impacto'!$D$11),"Leve",IF(OR(K10='Tabla Impacto'!$C$12,K10='Tabla Impacto'!$D$12),"Menor",IF(OR(K10='Tabla Impacto'!$C$13,K10='Tabla Impacto'!$D$13),"Moderado",IF(OR(K10='Tabla Impacto'!$C$14,K10='Tabla Impacto'!$D$14),"Mayor",IF(OR(K10='Tabla Impacto'!$C$15,K10='Tabla Impacto'!$D$15),"Catastrófico","")))))</f>
        <v>Mayor</v>
      </c>
      <c r="M10" s="232">
        <f>IF(L10="","",IF(L10="Leve",0.2,IF(L10="Menor",0.4,IF(L10="Moderado",0.6,IF(L10="Mayor",0.8,IF(L10="Catastrófico",1,))))))</f>
        <v>0.8</v>
      </c>
      <c r="N10" s="22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49" t="s">
        <v>292</v>
      </c>
      <c r="Q10" s="51" t="str">
        <f>IF(OR(R10="Preventivo",R10="Detectivo"),"Probabilidad",IF(R10="Correctivo","Impacto",""))</f>
        <v>Probabilidad</v>
      </c>
      <c r="R10" s="52" t="s">
        <v>14</v>
      </c>
      <c r="S10" s="52" t="s">
        <v>9</v>
      </c>
      <c r="T10" s="53" t="str">
        <f>IF(AND(R10="Preventivo",S10="Automático"),"50%",IF(AND(R10="Preventivo",S10="Manual"),"40%",IF(AND(R10="Detectivo",S10="Automático"),"40%",IF(AND(R10="Detectivo",S10="Manual"),"30%",IF(AND(R10="Correctivo",S10="Automático"),"35%",IF(AND(R10="Correctivo",S10="Manual"),"25%",""))))))</f>
        <v>40%</v>
      </c>
      <c r="U10" s="52" t="s">
        <v>19</v>
      </c>
      <c r="V10" s="52" t="s">
        <v>22</v>
      </c>
      <c r="W10" s="52" t="s">
        <v>119</v>
      </c>
      <c r="X10" s="24">
        <f>IFERROR(IF(Q10="Probabilidad",(I10-(+I10*T10)),IF(Q10="Impacto",I10,"")),"")</f>
        <v>0.48</v>
      </c>
      <c r="Y10" s="54" t="str">
        <f>IFERROR(IF(X10="","",IF(X10&lt;=0.2,"Muy Baja",IF(X10&lt;=0.4,"Baja",IF(X10&lt;=0.6,"Media",IF(X10&lt;=0.8,"Alta","Muy Alta"))))),"")</f>
        <v>Media</v>
      </c>
      <c r="Z10" s="55">
        <f>+X10</f>
        <v>0.48</v>
      </c>
      <c r="AA10" s="54" t="str">
        <f>IFERROR(IF(AB10="","",IF(AB10&lt;=0.2,"Leve",IF(AB10&lt;=0.4,"Menor",IF(AB10&lt;=0.6,"Moderado",IF(AB10&lt;=0.8,"Mayor","Catastrófico"))))),"")</f>
        <v>Mayor</v>
      </c>
      <c r="AB10" s="55">
        <f>IFERROR(IF(Q10="Impacto",(M10-(+M10*T10)),IF(Q10="Probabilidad",M10,"")),"")</f>
        <v>0.8</v>
      </c>
      <c r="AC10" s="56"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57" t="s">
        <v>136</v>
      </c>
      <c r="AE10" s="58" t="s">
        <v>302</v>
      </c>
      <c r="AF10" s="58" t="s">
        <v>295</v>
      </c>
      <c r="AG10" s="152" t="s">
        <v>294</v>
      </c>
      <c r="AH10" s="59" t="s">
        <v>316</v>
      </c>
      <c r="AI10" s="59" t="s">
        <v>316</v>
      </c>
      <c r="AJ10" s="59" t="s">
        <v>316</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4"/>
      <c r="B11" s="215"/>
      <c r="C11" s="215"/>
      <c r="D11" s="215"/>
      <c r="E11" s="227"/>
      <c r="F11" s="215"/>
      <c r="G11" s="218"/>
      <c r="H11" s="221"/>
      <c r="I11" s="233"/>
      <c r="J11" s="236"/>
      <c r="K11" s="233">
        <f>IF(NOT(ISERROR(MATCH(J11,_xlfn.ANCHORARRAY(E22),0))),I24&amp;"Por favor no seleccionar los criterios de impacto",J11)</f>
        <v>0</v>
      </c>
      <c r="L11" s="221"/>
      <c r="M11" s="233"/>
      <c r="N11" s="230"/>
      <c r="O11" s="6">
        <v>2</v>
      </c>
      <c r="P11" s="49" t="s">
        <v>293</v>
      </c>
      <c r="Q11" s="51" t="str">
        <f>IF(OR(R11="Preventivo",R11="Detectivo"),"Probabilidad",IF(R11="Correctivo","Impacto",""))</f>
        <v>Probabilidad</v>
      </c>
      <c r="R11" s="52" t="s">
        <v>14</v>
      </c>
      <c r="S11" s="52" t="s">
        <v>9</v>
      </c>
      <c r="T11" s="53" t="str">
        <f t="shared" ref="T11:T15" si="0">IF(AND(R11="Preventivo",S11="Automático"),"50%",IF(AND(R11="Preventivo",S11="Manual"),"40%",IF(AND(R11="Detectivo",S11="Automático"),"40%",IF(AND(R11="Detectivo",S11="Manual"),"30%",IF(AND(R11="Correctivo",S11="Automático"),"35%",IF(AND(R11="Correctivo",S11="Manual"),"25%",""))))))</f>
        <v>40%</v>
      </c>
      <c r="U11" s="52" t="s">
        <v>19</v>
      </c>
      <c r="V11" s="52" t="s">
        <v>22</v>
      </c>
      <c r="W11" s="52" t="s">
        <v>119</v>
      </c>
      <c r="X11" s="24">
        <f>IFERROR(IF(AND(Q10="Probabilidad",Q11="Probabilidad"),(Z10-(+Z10*T11)),IF(Q11="Probabilidad",(I10-(+I10*T11)),IF(Q11="Impacto",Z10,""))),"")</f>
        <v>0.28799999999999998</v>
      </c>
      <c r="Y11" s="54" t="str">
        <f t="shared" ref="Y11:Y69" si="1">IFERROR(IF(X11="","",IF(X11&lt;=0.2,"Muy Baja",IF(X11&lt;=0.4,"Baja",IF(X11&lt;=0.6,"Media",IF(X11&lt;=0.8,"Alta","Muy Alta"))))),"")</f>
        <v>Baja</v>
      </c>
      <c r="Z11" s="55">
        <f t="shared" ref="Z11:Z15" si="2">+X11</f>
        <v>0.28799999999999998</v>
      </c>
      <c r="AA11" s="54" t="str">
        <f t="shared" ref="AA11:AA69" si="3">IFERROR(IF(AB11="","",IF(AB11&lt;=0.2,"Leve",IF(AB11&lt;=0.4,"Menor",IF(AB11&lt;=0.6,"Moderado",IF(AB11&lt;=0.8,"Mayor","Catastrófico"))))),"")</f>
        <v>Mayor</v>
      </c>
      <c r="AB11" s="55">
        <f>IFERROR(IF(AND(Q10="Impacto",Q11="Impacto"),(AB10-(+AB10*T11)),IF(Q11="Impacto",($M$10-(+$M$10*T11)),IF(Q11="Probabilidad",AB10,""))),"")</f>
        <v>0.8</v>
      </c>
      <c r="AC11" s="56"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57"/>
      <c r="AE11" s="58"/>
      <c r="AF11" s="48"/>
      <c r="AG11" s="152"/>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4"/>
      <c r="B12" s="215"/>
      <c r="C12" s="215"/>
      <c r="D12" s="215"/>
      <c r="E12" s="227"/>
      <c r="F12" s="215"/>
      <c r="G12" s="218"/>
      <c r="H12" s="221"/>
      <c r="I12" s="233"/>
      <c r="J12" s="236"/>
      <c r="K12" s="233">
        <f>IF(NOT(ISERROR(MATCH(J12,_xlfn.ANCHORARRAY(E23),0))),I25&amp;"Por favor no seleccionar los criterios de impacto",J12)</f>
        <v>0</v>
      </c>
      <c r="L12" s="221"/>
      <c r="M12" s="233"/>
      <c r="N12" s="230"/>
      <c r="O12" s="6">
        <v>3</v>
      </c>
      <c r="P12" s="50" t="s">
        <v>313</v>
      </c>
      <c r="Q12" s="51" t="str">
        <f>IF(OR(R12="Preventivo",R12="Detectivo"),"Probabilidad",IF(R12="Correctivo","Impacto",""))</f>
        <v>Probabilidad</v>
      </c>
      <c r="R12" s="52" t="s">
        <v>14</v>
      </c>
      <c r="S12" s="52" t="s">
        <v>9</v>
      </c>
      <c r="T12" s="53" t="str">
        <f t="shared" si="0"/>
        <v>40%</v>
      </c>
      <c r="U12" s="52" t="s">
        <v>19</v>
      </c>
      <c r="V12" s="52" t="s">
        <v>22</v>
      </c>
      <c r="W12" s="52" t="s">
        <v>119</v>
      </c>
      <c r="X12" s="24">
        <f>IFERROR(IF(AND(Q11="Probabilidad",Q12="Probabilidad"),(Z11-(+Z11*T12)),IF(AND(Q11="Impacto",Q12="Probabilidad"),(Z10-(+Z10*T12)),IF(Q12="Impacto",Z11,""))),"")</f>
        <v>0.17279999999999998</v>
      </c>
      <c r="Y12" s="54" t="str">
        <f t="shared" si="1"/>
        <v>Muy Baja</v>
      </c>
      <c r="Z12" s="55">
        <f t="shared" si="2"/>
        <v>0.17279999999999998</v>
      </c>
      <c r="AA12" s="54" t="str">
        <f t="shared" si="3"/>
        <v>Mayor</v>
      </c>
      <c r="AB12" s="55">
        <f>IFERROR(IF(AND(Q11="Impacto",Q12="Impacto"),(AB11-(+AB11*T12)),IF(AND(Q11="Probabilidad",Q12="Impacto"),(AB10-(+AB10*T12)),IF(Q12="Probabilidad",AB11,""))),"")</f>
        <v>0.8</v>
      </c>
      <c r="AC12" s="56" t="str">
        <f t="shared" si="4"/>
        <v>Alto</v>
      </c>
      <c r="AD12" s="57"/>
      <c r="AE12" s="58"/>
      <c r="AF12" s="48"/>
      <c r="AG12" s="152"/>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4"/>
      <c r="B13" s="215"/>
      <c r="C13" s="215"/>
      <c r="D13" s="215"/>
      <c r="E13" s="227"/>
      <c r="F13" s="215"/>
      <c r="G13" s="218"/>
      <c r="H13" s="221"/>
      <c r="I13" s="233"/>
      <c r="J13" s="236"/>
      <c r="K13" s="233">
        <f>IF(NOT(ISERROR(MATCH(J13,_xlfn.ANCHORARRAY(E24),0))),I26&amp;"Por favor no seleccionar los criterios de impacto",J13)</f>
        <v>0</v>
      </c>
      <c r="L13" s="221"/>
      <c r="M13" s="233"/>
      <c r="N13" s="230"/>
      <c r="O13" s="6">
        <v>4</v>
      </c>
      <c r="P13" s="49" t="s">
        <v>314</v>
      </c>
      <c r="Q13" s="51" t="str">
        <f t="shared" ref="Q13:Q15" si="5">IF(OR(R13="Preventivo",R13="Detectivo"),"Probabilidad",IF(R13="Correctivo","Impacto",""))</f>
        <v>Probabilidad</v>
      </c>
      <c r="R13" s="52" t="s">
        <v>14</v>
      </c>
      <c r="S13" s="52" t="s">
        <v>9</v>
      </c>
      <c r="T13" s="53" t="str">
        <f t="shared" si="0"/>
        <v>40%</v>
      </c>
      <c r="U13" s="52" t="s">
        <v>19</v>
      </c>
      <c r="V13" s="52" t="s">
        <v>22</v>
      </c>
      <c r="W13" s="52" t="s">
        <v>119</v>
      </c>
      <c r="X13" s="24">
        <f t="shared" ref="X13:X15" si="6">IFERROR(IF(AND(Q12="Probabilidad",Q13="Probabilidad"),(Z12-(+Z12*T13)),IF(AND(Q12="Impacto",Q13="Probabilidad"),(Z11-(+Z11*T13)),IF(Q13="Impacto",Z12,""))),"")</f>
        <v>0.10367999999999998</v>
      </c>
      <c r="Y13" s="54" t="str">
        <f t="shared" si="1"/>
        <v>Muy Baja</v>
      </c>
      <c r="Z13" s="55">
        <f t="shared" si="2"/>
        <v>0.10367999999999998</v>
      </c>
      <c r="AA13" s="54" t="str">
        <f t="shared" si="3"/>
        <v>Mayor</v>
      </c>
      <c r="AB13" s="55">
        <f t="shared" ref="AB13:AB15" si="7">IFERROR(IF(AND(Q12="Impacto",Q13="Impacto"),(AB12-(+AB12*T13)),IF(AND(Q12="Probabilidad",Q13="Impacto"),(AB11-(+AB11*T13)),IF(Q13="Probabilidad",AB12,""))),"")</f>
        <v>0.8</v>
      </c>
      <c r="AC13" s="5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57"/>
      <c r="AE13" s="58"/>
      <c r="AF13" s="48"/>
      <c r="AG13" s="152"/>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4"/>
      <c r="B14" s="215"/>
      <c r="C14" s="215"/>
      <c r="D14" s="215"/>
      <c r="E14" s="227"/>
      <c r="F14" s="215"/>
      <c r="G14" s="218"/>
      <c r="H14" s="221"/>
      <c r="I14" s="233"/>
      <c r="J14" s="236"/>
      <c r="K14" s="233">
        <f>IF(NOT(ISERROR(MATCH(J14,_xlfn.ANCHORARRAY(E25),0))),I27&amp;"Por favor no seleccionar los criterios de impacto",J14)</f>
        <v>0</v>
      </c>
      <c r="L14" s="221"/>
      <c r="M14" s="233"/>
      <c r="N14" s="230"/>
      <c r="O14" s="6">
        <v>5</v>
      </c>
      <c r="P14" s="49"/>
      <c r="Q14" s="51" t="str">
        <f t="shared" si="5"/>
        <v/>
      </c>
      <c r="R14" s="52"/>
      <c r="S14" s="52"/>
      <c r="T14" s="53" t="str">
        <f t="shared" si="0"/>
        <v/>
      </c>
      <c r="U14" s="52"/>
      <c r="V14" s="52"/>
      <c r="W14" s="52"/>
      <c r="X14" s="24" t="str">
        <f t="shared" si="6"/>
        <v/>
      </c>
      <c r="Y14" s="54" t="str">
        <f t="shared" si="1"/>
        <v/>
      </c>
      <c r="Z14" s="55" t="str">
        <f t="shared" si="2"/>
        <v/>
      </c>
      <c r="AA14" s="54" t="str">
        <f t="shared" si="3"/>
        <v/>
      </c>
      <c r="AB14" s="55" t="str">
        <f t="shared" si="7"/>
        <v/>
      </c>
      <c r="AC14" s="56" t="str">
        <f t="shared" si="4"/>
        <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5"/>
      <c r="B15" s="216"/>
      <c r="C15" s="216"/>
      <c r="D15" s="216"/>
      <c r="E15" s="228"/>
      <c r="F15" s="216"/>
      <c r="G15" s="219"/>
      <c r="H15" s="222"/>
      <c r="I15" s="234"/>
      <c r="J15" s="237"/>
      <c r="K15" s="234">
        <f>IF(NOT(ISERROR(MATCH(J15,_xlfn.ANCHORARRAY(E26),0))),I28&amp;"Por favor no seleccionar los criterios de impacto",J15)</f>
        <v>0</v>
      </c>
      <c r="L15" s="222"/>
      <c r="M15" s="234"/>
      <c r="N15" s="231"/>
      <c r="O15" s="6">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3">
        <v>2</v>
      </c>
      <c r="B16" s="214" t="s">
        <v>132</v>
      </c>
      <c r="C16" s="214" t="s">
        <v>281</v>
      </c>
      <c r="D16" s="214" t="s">
        <v>311</v>
      </c>
      <c r="E16" s="226" t="s">
        <v>312</v>
      </c>
      <c r="F16" s="214" t="s">
        <v>123</v>
      </c>
      <c r="G16" s="217">
        <v>26</v>
      </c>
      <c r="H16" s="220" t="str">
        <f>IF(G16&lt;=0,"",IF(G16&lt;=2,"Muy Baja",IF(G16&lt;=24,"Baja",IF(G16&lt;=500,"Media",IF(G16&lt;=5000,"Alta","Muy Alta")))))</f>
        <v>Media</v>
      </c>
      <c r="I16" s="232">
        <f>IF(H16="","",IF(H16="Muy Baja",0.2,IF(H16="Baja",0.4,IF(H16="Media",0.6,IF(H16="Alta",0.8,IF(H16="Muy Alta",1,))))))</f>
        <v>0.6</v>
      </c>
      <c r="J16" s="235" t="s">
        <v>156</v>
      </c>
      <c r="K16" s="232"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20" t="str">
        <f>IF(OR(K16='Tabla Impacto'!$C$11,K16='Tabla Impacto'!$D$11),"Leve",IF(OR(K16='Tabla Impacto'!$C$12,K16='Tabla Impacto'!$D$12),"Menor",IF(OR(K16='Tabla Impacto'!$C$13,K16='Tabla Impacto'!$D$13),"Moderado",IF(OR(K16='Tabla Impacto'!$C$14,K16='Tabla Impacto'!$D$14),"Mayor",IF(OR(K16='Tabla Impacto'!$C$15,K16='Tabla Impacto'!$D$15),"Catastrófico","")))))</f>
        <v>Mayor</v>
      </c>
      <c r="M16" s="232">
        <f>IF(L16="","",IF(L16="Leve",0.2,IF(L16="Menor",0.4,IF(L16="Moderado",0.6,IF(L16="Mayor",0.8,IF(L16="Catastrófico",1,))))))</f>
        <v>0.8</v>
      </c>
      <c r="N16" s="22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49" t="s">
        <v>298</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0.36</v>
      </c>
      <c r="Y16" s="54" t="str">
        <f>IFERROR(IF(X16="","",IF(X16&lt;=0.2,"Muy Baja",IF(X16&lt;=0.4,"Baja",IF(X16&lt;=0.6,"Media",IF(X16&lt;=0.8,"Alta","Muy Alta"))))),"")</f>
        <v>Baja</v>
      </c>
      <c r="Z16" s="55">
        <f>+X16</f>
        <v>0.36</v>
      </c>
      <c r="AA16" s="54" t="str">
        <f>IFERROR(IF(AB16="","",IF(AB16&lt;=0.2,"Leve",IF(AB16&lt;=0.4,"Menor",IF(AB16&lt;=0.6,"Moderado",IF(AB16&lt;=0.8,"Mayor","Catastrófico"))))),"")</f>
        <v>Mayor</v>
      </c>
      <c r="AB16" s="55">
        <f>IFERROR(IF(Q16="Impacto",(M16-(+M16*T16)),IF(Q16="Probabilidad",M16,"")),"")</f>
        <v>0.8</v>
      </c>
      <c r="AC16" s="5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57" t="s">
        <v>136</v>
      </c>
      <c r="AE16" s="58" t="s">
        <v>303</v>
      </c>
      <c r="AF16" s="58" t="s">
        <v>296</v>
      </c>
      <c r="AG16" s="59" t="s">
        <v>294</v>
      </c>
      <c r="AH16" s="59" t="s">
        <v>316</v>
      </c>
      <c r="AI16" s="59" t="s">
        <v>316</v>
      </c>
      <c r="AJ16" s="59" t="s">
        <v>316</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4"/>
      <c r="B17" s="215"/>
      <c r="C17" s="215"/>
      <c r="D17" s="215"/>
      <c r="E17" s="227"/>
      <c r="F17" s="215"/>
      <c r="G17" s="218"/>
      <c r="H17" s="221"/>
      <c r="I17" s="233"/>
      <c r="J17" s="236"/>
      <c r="K17" s="233">
        <f>IF(NOT(ISERROR(MATCH(J17,_xlfn.ANCHORARRAY(E28),0))),I30&amp;"Por favor no seleccionar los criterios de impacto",J17)</f>
        <v>0</v>
      </c>
      <c r="L17" s="221"/>
      <c r="M17" s="233"/>
      <c r="N17" s="230"/>
      <c r="O17" s="6">
        <v>2</v>
      </c>
      <c r="P17" s="49" t="s">
        <v>297</v>
      </c>
      <c r="Q17" s="51" t="str">
        <f>IF(OR(R17="Preventivo",R17="Detectivo"),"Probabilidad",IF(R17="Correctivo","Impacto",""))</f>
        <v>Probabilidad</v>
      </c>
      <c r="R17" s="52" t="s">
        <v>14</v>
      </c>
      <c r="S17" s="52" t="s">
        <v>9</v>
      </c>
      <c r="T17" s="53" t="str">
        <f t="shared" ref="T17:T21" si="8">IF(AND(R17="Preventivo",S17="Automático"),"50%",IF(AND(R17="Preventivo",S17="Manual"),"40%",IF(AND(R17="Detectivo",S17="Automático"),"40%",IF(AND(R17="Detectivo",S17="Manual"),"30%",IF(AND(R17="Correctivo",S17="Automático"),"35%",IF(AND(R17="Correctivo",S17="Manual"),"25%",""))))))</f>
        <v>40%</v>
      </c>
      <c r="U17" s="52" t="s">
        <v>19</v>
      </c>
      <c r="V17" s="52" t="s">
        <v>22</v>
      </c>
      <c r="W17" s="52" t="s">
        <v>119</v>
      </c>
      <c r="X17" s="24">
        <f>IFERROR(IF(AND(Q16="Probabilidad",Q17="Probabilidad"),(Z16-(+Z16*T17)),IF(Q17="Probabilidad",(I16-(+I16*T17)),IF(Q17="Impacto",Z16,""))),"")</f>
        <v>0.216</v>
      </c>
      <c r="Y17" s="54" t="str">
        <f t="shared" si="1"/>
        <v>Baja</v>
      </c>
      <c r="Z17" s="55">
        <f t="shared" ref="Z17:Z21" si="9">+X17</f>
        <v>0.216</v>
      </c>
      <c r="AA17" s="54" t="str">
        <f t="shared" si="3"/>
        <v>Mayor</v>
      </c>
      <c r="AB17" s="55">
        <f>IFERROR(IF(AND(Q16="Impacto",Q17="Impacto"),(AB10-(+AB10*T17)),IF(Q17="Impacto",($M$16-(+$M$16*T17)),IF(Q17="Probabilidad",AB10,""))),"")</f>
        <v>0.8</v>
      </c>
      <c r="AC17" s="56"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4"/>
      <c r="B18" s="215"/>
      <c r="C18" s="215"/>
      <c r="D18" s="215"/>
      <c r="E18" s="227"/>
      <c r="F18" s="215"/>
      <c r="G18" s="218"/>
      <c r="H18" s="221"/>
      <c r="I18" s="233"/>
      <c r="J18" s="236"/>
      <c r="K18" s="233">
        <f>IF(NOT(ISERROR(MATCH(J18,_xlfn.ANCHORARRAY(E29),0))),I31&amp;"Por favor no seleccionar los criterios de impacto",J18)</f>
        <v>0</v>
      </c>
      <c r="L18" s="221"/>
      <c r="M18" s="233"/>
      <c r="N18" s="230"/>
      <c r="O18" s="6">
        <v>3</v>
      </c>
      <c r="P18" s="49" t="s">
        <v>299</v>
      </c>
      <c r="Q18" s="51" t="str">
        <f>IF(OR(R18="Preventivo",R18="Detectivo"),"Probabilidad",IF(R18="Correctivo","Impacto",""))</f>
        <v>Probabilidad</v>
      </c>
      <c r="R18" s="52" t="s">
        <v>14</v>
      </c>
      <c r="S18" s="52" t="s">
        <v>9</v>
      </c>
      <c r="T18" s="53" t="str">
        <f t="shared" si="8"/>
        <v>40%</v>
      </c>
      <c r="U18" s="52" t="s">
        <v>19</v>
      </c>
      <c r="V18" s="52" t="s">
        <v>22</v>
      </c>
      <c r="W18" s="52" t="s">
        <v>119</v>
      </c>
      <c r="X18" s="24">
        <f>IFERROR(IF(AND(Q17="Probabilidad",Q18="Probabilidad"),(Z17-(+Z17*T18)),IF(AND(Q17="Impacto",Q18="Probabilidad"),(Z16-(+Z16*T18)),IF(Q18="Impacto",Z17,""))),"")</f>
        <v>0.12959999999999999</v>
      </c>
      <c r="Y18" s="54" t="str">
        <f t="shared" si="1"/>
        <v>Muy Baja</v>
      </c>
      <c r="Z18" s="55">
        <f t="shared" si="9"/>
        <v>0.12959999999999999</v>
      </c>
      <c r="AA18" s="54" t="str">
        <f t="shared" si="3"/>
        <v>Mayor</v>
      </c>
      <c r="AB18" s="55">
        <f>IFERROR(IF(AND(Q17="Impacto",Q18="Impacto"),(AB17-(+AB17*T18)),IF(AND(Q17="Probabilidad",Q18="Impacto"),(AB16-(+AB16*T18)),IF(Q18="Probabilidad",AB17,""))),"")</f>
        <v>0.8</v>
      </c>
      <c r="AC18" s="56" t="str">
        <f t="shared" si="10"/>
        <v>Alto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4"/>
      <c r="B19" s="215"/>
      <c r="C19" s="215"/>
      <c r="D19" s="215"/>
      <c r="E19" s="227"/>
      <c r="F19" s="215"/>
      <c r="G19" s="218"/>
      <c r="H19" s="221"/>
      <c r="I19" s="233"/>
      <c r="J19" s="236"/>
      <c r="K19" s="233">
        <f>IF(NOT(ISERROR(MATCH(J19,_xlfn.ANCHORARRAY(E30),0))),I32&amp;"Por favor no seleccionar los criterios de impacto",J19)</f>
        <v>0</v>
      </c>
      <c r="L19" s="221"/>
      <c r="M19" s="233"/>
      <c r="N19" s="230"/>
      <c r="O19" s="6">
        <v>4</v>
      </c>
      <c r="P19" s="50" t="s">
        <v>300</v>
      </c>
      <c r="Q19" s="51" t="str">
        <f t="shared" ref="Q19:Q21" si="11">IF(OR(R19="Preventivo",R19="Detectivo"),"Probabilidad",IF(R19="Correctivo","Impacto",""))</f>
        <v>Probabilidad</v>
      </c>
      <c r="R19" s="52" t="s">
        <v>14</v>
      </c>
      <c r="S19" s="52" t="s">
        <v>9</v>
      </c>
      <c r="T19" s="53" t="str">
        <f t="shared" si="8"/>
        <v>40%</v>
      </c>
      <c r="U19" s="52" t="s">
        <v>19</v>
      </c>
      <c r="V19" s="52" t="s">
        <v>22</v>
      </c>
      <c r="W19" s="52" t="s">
        <v>119</v>
      </c>
      <c r="X19" s="24">
        <f t="shared" ref="X19:X21" si="12">IFERROR(IF(AND(Q18="Probabilidad",Q19="Probabilidad"),(Z18-(+Z18*T19)),IF(AND(Q18="Impacto",Q19="Probabilidad"),(Z17-(+Z17*T19)),IF(Q19="Impacto",Z18,""))),"")</f>
        <v>7.7759999999999996E-2</v>
      </c>
      <c r="Y19" s="54" t="str">
        <f t="shared" si="1"/>
        <v>Muy Baja</v>
      </c>
      <c r="Z19" s="55">
        <f t="shared" si="9"/>
        <v>7.7759999999999996E-2</v>
      </c>
      <c r="AA19" s="54" t="str">
        <f t="shared" si="3"/>
        <v>Mayor</v>
      </c>
      <c r="AB19" s="55">
        <f t="shared" ref="AB19:AB21" si="13">IFERROR(IF(AND(Q18="Impacto",Q19="Impacto"),(AB18-(+AB18*T19)),IF(AND(Q18="Probabilidad",Q19="Impacto"),(AB17-(+AB17*T19)),IF(Q19="Probabilidad",AB18,""))),"")</f>
        <v>0.8</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4"/>
      <c r="B20" s="215"/>
      <c r="C20" s="215"/>
      <c r="D20" s="215"/>
      <c r="E20" s="227"/>
      <c r="F20" s="215"/>
      <c r="G20" s="218"/>
      <c r="H20" s="221"/>
      <c r="I20" s="233"/>
      <c r="J20" s="236"/>
      <c r="K20" s="233">
        <f>IF(NOT(ISERROR(MATCH(J20,_xlfn.ANCHORARRAY(E31),0))),I33&amp;"Por favor no seleccionar los criterios de impacto",J20)</f>
        <v>0</v>
      </c>
      <c r="L20" s="221"/>
      <c r="M20" s="233"/>
      <c r="N20" s="230"/>
      <c r="O20" s="6">
        <v>5</v>
      </c>
      <c r="P20" s="49" t="s">
        <v>301</v>
      </c>
      <c r="Q20" s="51" t="str">
        <f t="shared" si="11"/>
        <v>Probabilidad</v>
      </c>
      <c r="R20" s="52" t="s">
        <v>14</v>
      </c>
      <c r="S20" s="52" t="s">
        <v>9</v>
      </c>
      <c r="T20" s="53" t="str">
        <f t="shared" si="8"/>
        <v>40%</v>
      </c>
      <c r="U20" s="52" t="s">
        <v>19</v>
      </c>
      <c r="V20" s="52" t="s">
        <v>22</v>
      </c>
      <c r="W20" s="52" t="s">
        <v>119</v>
      </c>
      <c r="X20" s="24">
        <f t="shared" si="12"/>
        <v>4.6655999999999996E-2</v>
      </c>
      <c r="Y20" s="54" t="str">
        <f t="shared" si="1"/>
        <v>Muy Baja</v>
      </c>
      <c r="Z20" s="55">
        <f t="shared" si="9"/>
        <v>4.6655999999999996E-2</v>
      </c>
      <c r="AA20" s="54" t="str">
        <f t="shared" si="3"/>
        <v>Mayor</v>
      </c>
      <c r="AB20" s="55">
        <f t="shared" si="13"/>
        <v>0.8</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5"/>
      <c r="B21" s="216"/>
      <c r="C21" s="216"/>
      <c r="D21" s="216"/>
      <c r="E21" s="228"/>
      <c r="F21" s="216"/>
      <c r="G21" s="219"/>
      <c r="H21" s="222"/>
      <c r="I21" s="234"/>
      <c r="J21" s="237"/>
      <c r="K21" s="234">
        <f>IF(NOT(ISERROR(MATCH(J21,_xlfn.ANCHORARRAY(E32),0))),I34&amp;"Por favor no seleccionar los criterios de impacto",J21)</f>
        <v>0</v>
      </c>
      <c r="L21" s="222"/>
      <c r="M21" s="234"/>
      <c r="N21" s="231"/>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3">
        <v>3</v>
      </c>
      <c r="B22" s="214"/>
      <c r="C22" s="214"/>
      <c r="D22" s="214"/>
      <c r="E22" s="226"/>
      <c r="F22" s="214"/>
      <c r="G22" s="217"/>
      <c r="H22" s="220" t="str">
        <f>IF(G22&lt;=0,"",IF(G22&lt;=2,"Muy Baja",IF(G22&lt;=24,"Baja",IF(G22&lt;=500,"Media",IF(G22&lt;=5000,"Alta","Muy Alta")))))</f>
        <v/>
      </c>
      <c r="I22" s="232" t="str">
        <f>IF(H22="","",IF(H22="Muy Baja",0.2,IF(H22="Baja",0.4,IF(H22="Media",0.6,IF(H22="Alta",0.8,IF(H22="Muy Alta",1,))))))</f>
        <v/>
      </c>
      <c r="J22" s="235"/>
      <c r="K22" s="232">
        <f>IF(NOT(ISERROR(MATCH(J22,'Tabla Impacto'!$B$221:$B$223,0))),'Tabla Impacto'!$F$223&amp;"Por favor no seleccionar los criterios de impacto(Afectación Económica o presupuestal y Pérdida Reputacional)",J22)</f>
        <v>0</v>
      </c>
      <c r="L22" s="220" t="str">
        <f>IF(OR(K22='Tabla Impacto'!$C$11,K22='Tabla Impacto'!$D$11),"Leve",IF(OR(K22='Tabla Impacto'!$C$12,K22='Tabla Impacto'!$D$12),"Menor",IF(OR(K22='Tabla Impacto'!$C$13,K22='Tabla Impacto'!$D$13),"Moderado",IF(OR(K22='Tabla Impacto'!$C$14,K22='Tabla Impacto'!$D$14),"Mayor",IF(OR(K22='Tabla Impacto'!$C$15,K22='Tabla Impacto'!$D$15),"Catastrófico","")))))</f>
        <v/>
      </c>
      <c r="M22" s="232" t="str">
        <f>IF(L22="","",IF(L22="Leve",0.2,IF(L22="Menor",0.4,IF(L22="Moderado",0.6,IF(L22="Mayor",0.8,IF(L22="Catastrófico",1,))))))</f>
        <v/>
      </c>
      <c r="N22" s="22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6">
        <v>1</v>
      </c>
      <c r="P22" s="49"/>
      <c r="Q22" s="51" t="str">
        <f>IF(OR(R22="Preventivo",R22="Detectivo"),"Probabilidad",IF(R22="Correctivo","Impacto",""))</f>
        <v/>
      </c>
      <c r="R22" s="52"/>
      <c r="S22" s="52"/>
      <c r="T22" s="53" t="str">
        <f>IF(AND(R22="Preventivo",S22="Automático"),"50%",IF(AND(R22="Preventivo",S22="Manual"),"40%",IF(AND(R22="Detectivo",S22="Automático"),"40%",IF(AND(R22="Detectivo",S22="Manual"),"30%",IF(AND(R22="Correctivo",S22="Automático"),"35%",IF(AND(R22="Correctivo",S22="Manual"),"25%",""))))))</f>
        <v/>
      </c>
      <c r="U22" s="52"/>
      <c r="V22" s="52"/>
      <c r="W22" s="52"/>
      <c r="X22" s="24" t="str">
        <f>IFERROR(IF(Q22="Probabilidad",(I22-(+I22*T22)),IF(Q22="Impacto",I22,"")),"")</f>
        <v/>
      </c>
      <c r="Y22" s="54" t="str">
        <f>IFERROR(IF(X22="","",IF(X22&lt;=0.2,"Muy Baja",IF(X22&lt;=0.4,"Baja",IF(X22&lt;=0.6,"Media",IF(X22&lt;=0.8,"Alta","Muy Alta"))))),"")</f>
        <v/>
      </c>
      <c r="Z22" s="55" t="str">
        <f>+X22</f>
        <v/>
      </c>
      <c r="AA22" s="54" t="str">
        <f>IFERROR(IF(AB22="","",IF(AB22&lt;=0.2,"Leve",IF(AB22&lt;=0.4,"Menor",IF(AB22&lt;=0.6,"Moderado",IF(AB22&lt;=0.8,"Mayor","Catastrófico"))))),"")</f>
        <v/>
      </c>
      <c r="AB22" s="55" t="str">
        <f>IFERROR(IF(Q22="Impacto",(M22-(+M22*T22)),IF(Q22="Probabilidad",M22,"")),"")</f>
        <v/>
      </c>
      <c r="AC22" s="5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7"/>
      <c r="AE22" s="58"/>
      <c r="AF22" s="48"/>
      <c r="AG22" s="59"/>
      <c r="AH22" s="59"/>
      <c r="AI22" s="58"/>
      <c r="AJ22" s="4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4"/>
      <c r="B23" s="215"/>
      <c r="C23" s="215"/>
      <c r="D23" s="215"/>
      <c r="E23" s="227"/>
      <c r="F23" s="215"/>
      <c r="G23" s="218"/>
      <c r="H23" s="221"/>
      <c r="I23" s="233"/>
      <c r="J23" s="236"/>
      <c r="K23" s="233">
        <f t="shared" ref="K23:K27" si="15">IF(NOT(ISERROR(MATCH(J23,_xlfn.ANCHORARRAY(E34),0))),I36&amp;"Por favor no seleccionar los criterios de impacto",J23)</f>
        <v>0</v>
      </c>
      <c r="L23" s="221"/>
      <c r="M23" s="233"/>
      <c r="N23" s="230"/>
      <c r="O23" s="6">
        <v>2</v>
      </c>
      <c r="P23" s="49"/>
      <c r="Q23" s="51" t="str">
        <f>IF(OR(R23="Preventivo",R23="Detectivo"),"Probabilidad",IF(R23="Correctivo","Impacto",""))</f>
        <v/>
      </c>
      <c r="R23" s="52"/>
      <c r="S23" s="52"/>
      <c r="T23" s="53" t="str">
        <f t="shared" ref="T23:T27" si="16">IF(AND(R23="Preventivo",S23="Automático"),"50%",IF(AND(R23="Preventivo",S23="Manual"),"40%",IF(AND(R23="Detectivo",S23="Automático"),"40%",IF(AND(R23="Detectivo",S23="Manual"),"30%",IF(AND(R23="Correctivo",S23="Automático"),"35%",IF(AND(R23="Correctivo",S23="Manual"),"25%",""))))))</f>
        <v/>
      </c>
      <c r="U23" s="52"/>
      <c r="V23" s="52"/>
      <c r="W23" s="52"/>
      <c r="X23" s="31" t="str">
        <f>IFERROR(IF(AND(Q22="Probabilidad",Q23="Probabilidad"),(Z22-(+Z22*T23)),IF(Q23="Probabilidad",(I22-(+I22*T23)),IF(Q23="Impacto",Z22,""))),"")</f>
        <v/>
      </c>
      <c r="Y23" s="54" t="str">
        <f t="shared" si="1"/>
        <v/>
      </c>
      <c r="Z23" s="55" t="str">
        <f t="shared" ref="Z23:Z27" si="17">+X23</f>
        <v/>
      </c>
      <c r="AA23" s="54" t="str">
        <f t="shared" si="3"/>
        <v/>
      </c>
      <c r="AB23" s="55" t="str">
        <f>IFERROR(IF(AND(Q22="Impacto",Q23="Impacto"),(AB16-(+AB16*T23)),IF(Q23="Impacto",($M$22-(+$M$22*T23)),IF(Q23="Probabilidad",AB16,""))),"")</f>
        <v/>
      </c>
      <c r="AC23" s="56"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7"/>
      <c r="AE23" s="58"/>
      <c r="AF23" s="48"/>
      <c r="AG23" s="59"/>
      <c r="AH23" s="152"/>
      <c r="AI23" s="153"/>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4"/>
      <c r="B24" s="215"/>
      <c r="C24" s="215"/>
      <c r="D24" s="215"/>
      <c r="E24" s="227"/>
      <c r="F24" s="215"/>
      <c r="G24" s="218"/>
      <c r="H24" s="221"/>
      <c r="I24" s="233"/>
      <c r="J24" s="236"/>
      <c r="K24" s="233">
        <f t="shared" si="15"/>
        <v>0</v>
      </c>
      <c r="L24" s="221"/>
      <c r="M24" s="233"/>
      <c r="N24" s="230"/>
      <c r="O24" s="6">
        <v>3</v>
      </c>
      <c r="P24" s="50"/>
      <c r="Q24" s="51" t="str">
        <f>IF(OR(R24="Preventivo",R24="Detectivo"),"Probabilidad",IF(R24="Correctivo","Impacto",""))</f>
        <v/>
      </c>
      <c r="R24" s="52"/>
      <c r="S24" s="52"/>
      <c r="T24" s="53" t="str">
        <f t="shared" si="16"/>
        <v/>
      </c>
      <c r="U24" s="52"/>
      <c r="V24" s="52"/>
      <c r="W24" s="52"/>
      <c r="X24" s="24" t="str">
        <f>IFERROR(IF(AND(Q23="Probabilidad",Q24="Probabilidad"),(Z23-(+Z23*T24)),IF(AND(Q23="Impacto",Q24="Probabilidad"),(Z22-(+Z22*T24)),IF(Q24="Impacto",Z23,""))),"")</f>
        <v/>
      </c>
      <c r="Y24" s="54" t="str">
        <f t="shared" si="1"/>
        <v/>
      </c>
      <c r="Z24" s="55" t="str">
        <f t="shared" si="17"/>
        <v/>
      </c>
      <c r="AA24" s="54" t="str">
        <f t="shared" si="3"/>
        <v/>
      </c>
      <c r="AB24" s="55" t="str">
        <f>IFERROR(IF(AND(Q23="Impacto",Q24="Impacto"),(AB23-(+AB23*T24)),IF(AND(Q23="Probabilidad",Q24="Impacto"),(AB22-(+AB22*T24)),IF(Q24="Probabilidad",AB23,""))),"")</f>
        <v/>
      </c>
      <c r="AC24" s="56" t="str">
        <f t="shared" si="18"/>
        <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4"/>
      <c r="B25" s="215"/>
      <c r="C25" s="215"/>
      <c r="D25" s="215"/>
      <c r="E25" s="227"/>
      <c r="F25" s="215"/>
      <c r="G25" s="218"/>
      <c r="H25" s="221"/>
      <c r="I25" s="233"/>
      <c r="J25" s="236"/>
      <c r="K25" s="233">
        <f t="shared" si="15"/>
        <v>0</v>
      </c>
      <c r="L25" s="221"/>
      <c r="M25" s="233"/>
      <c r="N25" s="230"/>
      <c r="O25" s="6">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4"/>
      <c r="B26" s="215"/>
      <c r="C26" s="215"/>
      <c r="D26" s="215"/>
      <c r="E26" s="227"/>
      <c r="F26" s="215"/>
      <c r="G26" s="218"/>
      <c r="H26" s="221"/>
      <c r="I26" s="233"/>
      <c r="J26" s="236"/>
      <c r="K26" s="233">
        <f t="shared" si="15"/>
        <v>0</v>
      </c>
      <c r="L26" s="221"/>
      <c r="M26" s="233"/>
      <c r="N26" s="230"/>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5"/>
      <c r="B27" s="216"/>
      <c r="C27" s="216"/>
      <c r="D27" s="216"/>
      <c r="E27" s="228"/>
      <c r="F27" s="216"/>
      <c r="G27" s="219"/>
      <c r="H27" s="222"/>
      <c r="I27" s="234"/>
      <c r="J27" s="237"/>
      <c r="K27" s="234">
        <f t="shared" si="15"/>
        <v>0</v>
      </c>
      <c r="L27" s="222"/>
      <c r="M27" s="234"/>
      <c r="N27" s="231"/>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3">
        <v>4</v>
      </c>
      <c r="B28" s="214"/>
      <c r="C28" s="214"/>
      <c r="D28" s="214"/>
      <c r="E28" s="226"/>
      <c r="F28" s="214"/>
      <c r="G28" s="217"/>
      <c r="H28" s="220" t="str">
        <f>IF(G28&lt;=0,"",IF(G28&lt;=2,"Muy Baja",IF(G28&lt;=24,"Baja",IF(G28&lt;=500,"Media",IF(G28&lt;=5000,"Alta","Muy Alta")))))</f>
        <v/>
      </c>
      <c r="I28" s="232" t="str">
        <f>IF(H28="","",IF(H28="Muy Baja",0.2,IF(H28="Baja",0.4,IF(H28="Media",0.6,IF(H28="Alta",0.8,IF(H28="Muy Alta",1,))))))</f>
        <v/>
      </c>
      <c r="J28" s="235"/>
      <c r="K28" s="232">
        <f>IF(NOT(ISERROR(MATCH(J28,'Tabla Impacto'!$B$221:$B$223,0))),'Tabla Impacto'!$F$223&amp;"Por favor no seleccionar los criterios de impacto(Afectación Económica o presupuestal y Pérdida Reputacional)",J28)</f>
        <v>0</v>
      </c>
      <c r="L28" s="220" t="str">
        <f>IF(OR(K28='Tabla Impacto'!$C$11,K28='Tabla Impacto'!$D$11),"Leve",IF(OR(K28='Tabla Impacto'!$C$12,K28='Tabla Impacto'!$D$12),"Menor",IF(OR(K28='Tabla Impacto'!$C$13,K28='Tabla Impacto'!$D$13),"Moderado",IF(OR(K28='Tabla Impacto'!$C$14,K28='Tabla Impacto'!$D$14),"Mayor",IF(OR(K28='Tabla Impacto'!$C$15,K28='Tabla Impacto'!$D$15),"Catastrófico","")))))</f>
        <v/>
      </c>
      <c r="M28" s="232" t="str">
        <f>IF(L28="","",IF(L28="Leve",0.2,IF(L28="Menor",0.4,IF(L28="Moderado",0.6,IF(L28="Mayor",0.8,IF(L28="Catastrófico",1,))))))</f>
        <v/>
      </c>
      <c r="N28" s="22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6">
        <v>1</v>
      </c>
      <c r="P28" s="49"/>
      <c r="Q28" s="51" t="str">
        <f>IF(OR(R28="Preventivo",R28="Detectivo"),"Probabilidad",IF(R28="Correctivo","Impacto",""))</f>
        <v/>
      </c>
      <c r="R28" s="52"/>
      <c r="S28" s="52"/>
      <c r="T28" s="53" t="str">
        <f>IF(AND(R28="Preventivo",S28="Automático"),"50%",IF(AND(R28="Preventivo",S28="Manual"),"40%",IF(AND(R28="Detectivo",S28="Automático"),"40%",IF(AND(R28="Detectivo",S28="Manual"),"30%",IF(AND(R28="Correctivo",S28="Automático"),"35%",IF(AND(R28="Correctivo",S28="Manual"),"25%",""))))))</f>
        <v/>
      </c>
      <c r="U28" s="52"/>
      <c r="V28" s="52"/>
      <c r="W28" s="52"/>
      <c r="X28" s="24" t="str">
        <f>IFERROR(IF(Q28="Probabilidad",(I28-(+I28*T28)),IF(Q28="Impacto",I28,"")),"")</f>
        <v/>
      </c>
      <c r="Y28" s="54" t="str">
        <f>IFERROR(IF(X28="","",IF(X28&lt;=0.2,"Muy Baja",IF(X28&lt;=0.4,"Baja",IF(X28&lt;=0.6,"Media",IF(X28&lt;=0.8,"Alta","Muy Alta"))))),"")</f>
        <v/>
      </c>
      <c r="Z28" s="55" t="str">
        <f>+X28</f>
        <v/>
      </c>
      <c r="AA28" s="54" t="str">
        <f>IFERROR(IF(AB28="","",IF(AB28&lt;=0.2,"Leve",IF(AB28&lt;=0.4,"Menor",IF(AB28&lt;=0.6,"Moderado",IF(AB28&lt;=0.8,"Mayor","Catastrófico"))))),"")</f>
        <v/>
      </c>
      <c r="AB28" s="55" t="str">
        <f>IFERROR(IF(Q28="Impacto",(M28-(+M28*T28)),IF(Q28="Probabilidad",M28,"")),"")</f>
        <v/>
      </c>
      <c r="AC28" s="5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7"/>
      <c r="AE28" s="58"/>
      <c r="AF28" s="48"/>
      <c r="AG28" s="59"/>
      <c r="AH28" s="59"/>
      <c r="AI28" s="58"/>
      <c r="AJ28" s="4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4"/>
      <c r="B29" s="215"/>
      <c r="C29" s="215"/>
      <c r="D29" s="215"/>
      <c r="E29" s="227"/>
      <c r="F29" s="215"/>
      <c r="G29" s="218"/>
      <c r="H29" s="221"/>
      <c r="I29" s="233"/>
      <c r="J29" s="236"/>
      <c r="K29" s="233">
        <f t="shared" ref="K29:K33" si="23">IF(NOT(ISERROR(MATCH(J29,_xlfn.ANCHORARRAY(E40),0))),I42&amp;"Por favor no seleccionar los criterios de impacto",J29)</f>
        <v>0</v>
      </c>
      <c r="L29" s="221"/>
      <c r="M29" s="233"/>
      <c r="N29" s="230"/>
      <c r="O29" s="6">
        <v>2</v>
      </c>
      <c r="P29" s="49"/>
      <c r="Q29" s="51" t="str">
        <f>IF(OR(R29="Preventivo",R29="Detectivo"),"Probabilidad",IF(R29="Correctivo","Impacto",""))</f>
        <v/>
      </c>
      <c r="R29" s="52"/>
      <c r="S29" s="52"/>
      <c r="T29" s="53" t="str">
        <f t="shared" ref="T29:T33" si="24">IF(AND(R29="Preventivo",S29="Automático"),"50%",IF(AND(R29="Preventivo",S29="Manual"),"40%",IF(AND(R29="Detectivo",S29="Automático"),"40%",IF(AND(R29="Detectivo",S29="Manual"),"30%",IF(AND(R29="Correctivo",S29="Automático"),"35%",IF(AND(R29="Correctivo",S29="Manual"),"25%",""))))))</f>
        <v/>
      </c>
      <c r="U29" s="52"/>
      <c r="V29" s="52"/>
      <c r="W29" s="52"/>
      <c r="X29" s="24" t="str">
        <f>IFERROR(IF(AND(Q28="Probabilidad",Q29="Probabilidad"),(Z28-(+Z28*T29)),IF(Q29="Probabilidad",(I28-(+I28*T29)),IF(Q29="Impacto",Z28,""))),"")</f>
        <v/>
      </c>
      <c r="Y29" s="54" t="str">
        <f t="shared" si="1"/>
        <v/>
      </c>
      <c r="Z29" s="55" t="str">
        <f t="shared" ref="Z29:Z33" si="25">+X29</f>
        <v/>
      </c>
      <c r="AA29" s="54" t="str">
        <f t="shared" si="3"/>
        <v/>
      </c>
      <c r="AB29" s="55" t="str">
        <f>IFERROR(IF(AND(Q28="Impacto",Q29="Impacto"),(AB22-(+AB22*T29)),IF(Q29="Impacto",($M$28-(+$M$28*T29)),IF(Q29="Probabilidad",AB22,""))),"")</f>
        <v/>
      </c>
      <c r="AC29" s="56"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4"/>
      <c r="B30" s="215"/>
      <c r="C30" s="215"/>
      <c r="D30" s="215"/>
      <c r="E30" s="227"/>
      <c r="F30" s="215"/>
      <c r="G30" s="218"/>
      <c r="H30" s="221"/>
      <c r="I30" s="233"/>
      <c r="J30" s="236"/>
      <c r="K30" s="233">
        <f t="shared" si="23"/>
        <v>0</v>
      </c>
      <c r="L30" s="221"/>
      <c r="M30" s="233"/>
      <c r="N30" s="230"/>
      <c r="O30" s="6">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4"/>
      <c r="B31" s="215"/>
      <c r="C31" s="215"/>
      <c r="D31" s="215"/>
      <c r="E31" s="227"/>
      <c r="F31" s="215"/>
      <c r="G31" s="218"/>
      <c r="H31" s="221"/>
      <c r="I31" s="233"/>
      <c r="J31" s="236"/>
      <c r="K31" s="233">
        <f t="shared" si="23"/>
        <v>0</v>
      </c>
      <c r="L31" s="221"/>
      <c r="M31" s="233"/>
      <c r="N31" s="230"/>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4"/>
      <c r="B32" s="215"/>
      <c r="C32" s="215"/>
      <c r="D32" s="215"/>
      <c r="E32" s="227"/>
      <c r="F32" s="215"/>
      <c r="G32" s="218"/>
      <c r="H32" s="221"/>
      <c r="I32" s="233"/>
      <c r="J32" s="236"/>
      <c r="K32" s="233">
        <f t="shared" si="23"/>
        <v>0</v>
      </c>
      <c r="L32" s="221"/>
      <c r="M32" s="233"/>
      <c r="N32" s="230"/>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5"/>
      <c r="B33" s="216"/>
      <c r="C33" s="216"/>
      <c r="D33" s="216"/>
      <c r="E33" s="228"/>
      <c r="F33" s="216"/>
      <c r="G33" s="219"/>
      <c r="H33" s="222"/>
      <c r="I33" s="234"/>
      <c r="J33" s="237"/>
      <c r="K33" s="234">
        <f t="shared" si="23"/>
        <v>0</v>
      </c>
      <c r="L33" s="222"/>
      <c r="M33" s="234"/>
      <c r="N33" s="231"/>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3">
        <v>5</v>
      </c>
      <c r="B34" s="214"/>
      <c r="C34" s="214"/>
      <c r="D34" s="214"/>
      <c r="E34" s="226"/>
      <c r="F34" s="214"/>
      <c r="G34" s="217"/>
      <c r="H34" s="220" t="str">
        <f>IF(G34&lt;=0,"",IF(G34&lt;=2,"Muy Baja",IF(G34&lt;=24,"Baja",IF(G34&lt;=500,"Media",IF(G34&lt;=5000,"Alta","Muy Alta")))))</f>
        <v/>
      </c>
      <c r="I34" s="232" t="str">
        <f>IF(H34="","",IF(H34="Muy Baja",0.2,IF(H34="Baja",0.4,IF(H34="Media",0.6,IF(H34="Alta",0.8,IF(H34="Muy Alta",1,))))))</f>
        <v/>
      </c>
      <c r="J34" s="235"/>
      <c r="K34" s="232">
        <f>IF(NOT(ISERROR(MATCH(J34,'Tabla Impacto'!$B$221:$B$223,0))),'Tabla Impacto'!$F$223&amp;"Por favor no seleccionar los criterios de impacto(Afectación Económica o presupuestal y Pérdida Reputacional)",J34)</f>
        <v>0</v>
      </c>
      <c r="L34" s="220" t="str">
        <f>IF(OR(K34='Tabla Impacto'!$C$11,K34='Tabla Impacto'!$D$11),"Leve",IF(OR(K34='Tabla Impacto'!$C$12,K34='Tabla Impacto'!$D$12),"Menor",IF(OR(K34='Tabla Impacto'!$C$13,K34='Tabla Impacto'!$D$13),"Moderado",IF(OR(K34='Tabla Impacto'!$C$14,K34='Tabla Impacto'!$D$14),"Mayor",IF(OR(K34='Tabla Impacto'!$C$15,K34='Tabla Impacto'!$D$15),"Catastrófico","")))))</f>
        <v/>
      </c>
      <c r="M34" s="232" t="str">
        <f>IF(L34="","",IF(L34="Leve",0.2,IF(L34="Menor",0.4,IF(L34="Moderado",0.6,IF(L34="Mayor",0.8,IF(L34="Catastrófico",1,))))))</f>
        <v/>
      </c>
      <c r="N34" s="22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6">
        <v>1</v>
      </c>
      <c r="P34" s="49"/>
      <c r="Q34" s="51" t="str">
        <f>IF(OR(R34="Preventivo",R34="Detectivo"),"Probabilidad",IF(R34="Correctivo","Impacto",""))</f>
        <v/>
      </c>
      <c r="R34" s="52"/>
      <c r="S34" s="52"/>
      <c r="T34" s="53" t="str">
        <f>IF(AND(R34="Preventivo",S34="Automático"),"50%",IF(AND(R34="Preventivo",S34="Manual"),"40%",IF(AND(R34="Detectivo",S34="Automático"),"40%",IF(AND(R34="Detectivo",S34="Manual"),"30%",IF(AND(R34="Correctivo",S34="Automático"),"35%",IF(AND(R34="Correctivo",S34="Manual"),"25%",""))))))</f>
        <v/>
      </c>
      <c r="U34" s="52"/>
      <c r="V34" s="52"/>
      <c r="W34" s="52"/>
      <c r="X34" s="24" t="str">
        <f>IFERROR(IF(Q34="Probabilidad",(I34-(+I34*T34)),IF(Q34="Impacto",I34,"")),"")</f>
        <v/>
      </c>
      <c r="Y34" s="54" t="str">
        <f>IFERROR(IF(X34="","",IF(X34&lt;=0.2,"Muy Baja",IF(X34&lt;=0.4,"Baja",IF(X34&lt;=0.6,"Media",IF(X34&lt;=0.8,"Alta","Muy Alta"))))),"")</f>
        <v/>
      </c>
      <c r="Z34" s="55" t="str">
        <f>+X34</f>
        <v/>
      </c>
      <c r="AA34" s="54" t="str">
        <f>IFERROR(IF(AB34="","",IF(AB34&lt;=0.2,"Leve",IF(AB34&lt;=0.4,"Menor",IF(AB34&lt;=0.6,"Moderado",IF(AB34&lt;=0.8,"Mayor","Catastrófico"))))),"")</f>
        <v/>
      </c>
      <c r="AB34" s="55" t="str">
        <f>IFERROR(IF(Q34="Impacto",(M34-(+M34*T34)),IF(Q34="Probabilidad",M34,"")),"")</f>
        <v/>
      </c>
      <c r="AC34" s="5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7"/>
      <c r="AE34" s="58"/>
      <c r="AF34" s="48"/>
      <c r="AG34" s="59"/>
      <c r="AH34" s="59"/>
      <c r="AI34" s="58"/>
      <c r="AJ34" s="4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4"/>
      <c r="B35" s="215"/>
      <c r="C35" s="215"/>
      <c r="D35" s="215"/>
      <c r="E35" s="227"/>
      <c r="F35" s="215"/>
      <c r="G35" s="218"/>
      <c r="H35" s="221"/>
      <c r="I35" s="233"/>
      <c r="J35" s="236"/>
      <c r="K35" s="233">
        <f t="shared" ref="K35:K39" si="31">IF(NOT(ISERROR(MATCH(J35,_xlfn.ANCHORARRAY(E46),0))),I48&amp;"Por favor no seleccionar los criterios de impacto",J35)</f>
        <v>0</v>
      </c>
      <c r="L35" s="221"/>
      <c r="M35" s="233"/>
      <c r="N35" s="230"/>
      <c r="O35" s="6">
        <v>2</v>
      </c>
      <c r="P35" s="49"/>
      <c r="Q35" s="51" t="str">
        <f>IF(OR(R35="Preventivo",R35="Detectivo"),"Probabilidad",IF(R35="Correctivo","Impacto",""))</f>
        <v/>
      </c>
      <c r="R35" s="52"/>
      <c r="S35" s="52"/>
      <c r="T35" s="53" t="str">
        <f t="shared" ref="T35:T39" si="32">IF(AND(R35="Preventivo",S35="Automático"),"50%",IF(AND(R35="Preventivo",S35="Manual"),"40%",IF(AND(R35="Detectivo",S35="Automático"),"40%",IF(AND(R35="Detectivo",S35="Manual"),"30%",IF(AND(R35="Correctivo",S35="Automático"),"35%",IF(AND(R35="Correctivo",S35="Manual"),"25%",""))))))</f>
        <v/>
      </c>
      <c r="U35" s="52"/>
      <c r="V35" s="52"/>
      <c r="W35" s="52"/>
      <c r="X35" s="24" t="str">
        <f>IFERROR(IF(AND(Q34="Probabilidad",Q35="Probabilidad"),(Z34-(+Z34*T35)),IF(Q35="Probabilidad",(I34-(+I34*T35)),IF(Q35="Impacto",Z34,""))),"")</f>
        <v/>
      </c>
      <c r="Y35" s="54" t="str">
        <f t="shared" si="1"/>
        <v/>
      </c>
      <c r="Z35" s="55" t="str">
        <f t="shared" ref="Z35:Z39" si="33">+X35</f>
        <v/>
      </c>
      <c r="AA35" s="54" t="str">
        <f t="shared" si="3"/>
        <v/>
      </c>
      <c r="AB35" s="55" t="str">
        <f>IFERROR(IF(AND(Q34="Impacto",Q35="Impacto"),(AB28-(+AB28*T35)),IF(Q35="Impacto",($M$34-(+$M$34*T35)),IF(Q35="Probabilidad",AB28,""))),"")</f>
        <v/>
      </c>
      <c r="AC35" s="56"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4"/>
      <c r="B36" s="215"/>
      <c r="C36" s="215"/>
      <c r="D36" s="215"/>
      <c r="E36" s="227"/>
      <c r="F36" s="215"/>
      <c r="G36" s="218"/>
      <c r="H36" s="221"/>
      <c r="I36" s="233"/>
      <c r="J36" s="236"/>
      <c r="K36" s="233">
        <f t="shared" si="31"/>
        <v>0</v>
      </c>
      <c r="L36" s="221"/>
      <c r="M36" s="233"/>
      <c r="N36" s="230"/>
      <c r="O36" s="6">
        <v>3</v>
      </c>
      <c r="P36" s="50"/>
      <c r="Q36" s="51" t="str">
        <f>IF(OR(R36="Preventivo",R36="Detectivo"),"Probabilidad",IF(R36="Correctivo","Impacto",""))</f>
        <v/>
      </c>
      <c r="R36" s="52"/>
      <c r="S36" s="52"/>
      <c r="T36" s="53" t="str">
        <f t="shared" si="32"/>
        <v/>
      </c>
      <c r="U36" s="52"/>
      <c r="V36" s="52"/>
      <c r="W36" s="52"/>
      <c r="X36" s="24" t="str">
        <f>IFERROR(IF(AND(Q35="Probabilidad",Q36="Probabilidad"),(Z35-(+Z35*T36)),IF(AND(Q35="Impacto",Q36="Probabilidad"),(Z34-(+Z34*T36)),IF(Q36="Impacto",Z35,""))),"")</f>
        <v/>
      </c>
      <c r="Y36" s="54" t="str">
        <f t="shared" si="1"/>
        <v/>
      </c>
      <c r="Z36" s="55" t="str">
        <f t="shared" si="33"/>
        <v/>
      </c>
      <c r="AA36" s="54" t="str">
        <f t="shared" si="3"/>
        <v/>
      </c>
      <c r="AB36" s="55" t="str">
        <f>IFERROR(IF(AND(Q35="Impacto",Q36="Impacto"),(AB35-(+AB35*T36)),IF(AND(Q35="Probabilidad",Q36="Impacto"),(AB34-(+AB34*T36)),IF(Q36="Probabilidad",AB35,""))),"")</f>
        <v/>
      </c>
      <c r="AC36" s="56" t="str">
        <f t="shared" si="34"/>
        <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4"/>
      <c r="B37" s="215"/>
      <c r="C37" s="215"/>
      <c r="D37" s="215"/>
      <c r="E37" s="227"/>
      <c r="F37" s="215"/>
      <c r="G37" s="218"/>
      <c r="H37" s="221"/>
      <c r="I37" s="233"/>
      <c r="J37" s="236"/>
      <c r="K37" s="233">
        <f t="shared" si="31"/>
        <v>0</v>
      </c>
      <c r="L37" s="221"/>
      <c r="M37" s="233"/>
      <c r="N37" s="230"/>
      <c r="O37" s="6">
        <v>4</v>
      </c>
      <c r="P37" s="49"/>
      <c r="Q37" s="51" t="str">
        <f t="shared" ref="Q37:Q39" si="35">IF(OR(R37="Preventivo",R37="Detectivo"),"Probabilidad",IF(R37="Correctivo","Impacto",""))</f>
        <v/>
      </c>
      <c r="R37" s="52"/>
      <c r="S37" s="52"/>
      <c r="T37" s="53" t="str">
        <f t="shared" si="32"/>
        <v/>
      </c>
      <c r="U37" s="52"/>
      <c r="V37" s="52"/>
      <c r="W37" s="52"/>
      <c r="X37" s="24" t="str">
        <f t="shared" ref="X37:X39" si="36">IFERROR(IF(AND(Q36="Probabilidad",Q37="Probabilidad"),(Z36-(+Z36*T37)),IF(AND(Q36="Impacto",Q37="Probabilidad"),(Z35-(+Z35*T37)),IF(Q37="Impacto",Z36,""))),"")</f>
        <v/>
      </c>
      <c r="Y37" s="54" t="str">
        <f t="shared" si="1"/>
        <v/>
      </c>
      <c r="Z37" s="55" t="str">
        <f t="shared" si="33"/>
        <v/>
      </c>
      <c r="AA37" s="54" t="str">
        <f t="shared" si="3"/>
        <v/>
      </c>
      <c r="AB37" s="55" t="str">
        <f t="shared" ref="AB37:AB39" si="37">IFERROR(IF(AND(Q36="Impacto",Q37="Impacto"),(AB36-(+AB36*T37)),IF(AND(Q36="Probabilidad",Q37="Impacto"),(AB35-(+AB35*T37)),IF(Q37="Probabilidad",AB36,""))),"")</f>
        <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4"/>
      <c r="B38" s="215"/>
      <c r="C38" s="215"/>
      <c r="D38" s="215"/>
      <c r="E38" s="227"/>
      <c r="F38" s="215"/>
      <c r="G38" s="218"/>
      <c r="H38" s="221"/>
      <c r="I38" s="233"/>
      <c r="J38" s="236"/>
      <c r="K38" s="233">
        <f t="shared" si="31"/>
        <v>0</v>
      </c>
      <c r="L38" s="221"/>
      <c r="M38" s="233"/>
      <c r="N38" s="230"/>
      <c r="O38" s="6">
        <v>5</v>
      </c>
      <c r="P38" s="49"/>
      <c r="Q38" s="51" t="str">
        <f t="shared" si="35"/>
        <v/>
      </c>
      <c r="R38" s="52"/>
      <c r="S38" s="52"/>
      <c r="T38" s="53" t="str">
        <f t="shared" si="32"/>
        <v/>
      </c>
      <c r="U38" s="52"/>
      <c r="V38" s="52"/>
      <c r="W38" s="52"/>
      <c r="X38" s="24" t="str">
        <f t="shared" si="36"/>
        <v/>
      </c>
      <c r="Y38" s="54" t="str">
        <f t="shared" si="1"/>
        <v/>
      </c>
      <c r="Z38" s="55" t="str">
        <f t="shared" si="33"/>
        <v/>
      </c>
      <c r="AA38" s="54" t="str">
        <f t="shared" si="3"/>
        <v/>
      </c>
      <c r="AB38" s="55" t="str">
        <f t="shared" si="37"/>
        <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5"/>
      <c r="B39" s="216"/>
      <c r="C39" s="216"/>
      <c r="D39" s="216"/>
      <c r="E39" s="228"/>
      <c r="F39" s="216"/>
      <c r="G39" s="219"/>
      <c r="H39" s="222"/>
      <c r="I39" s="234"/>
      <c r="J39" s="237"/>
      <c r="K39" s="234">
        <f t="shared" si="31"/>
        <v>0</v>
      </c>
      <c r="L39" s="222"/>
      <c r="M39" s="234"/>
      <c r="N39" s="231"/>
      <c r="O39" s="6">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3">
        <v>6</v>
      </c>
      <c r="B40" s="214"/>
      <c r="C40" s="214"/>
      <c r="D40" s="214"/>
      <c r="E40" s="226"/>
      <c r="F40" s="214"/>
      <c r="G40" s="217"/>
      <c r="H40" s="220" t="str">
        <f>IF(G40&lt;=0,"",IF(G40&lt;=2,"Muy Baja",IF(G40&lt;=24,"Baja",IF(G40&lt;=500,"Media",IF(G40&lt;=5000,"Alta","Muy Alta")))))</f>
        <v/>
      </c>
      <c r="I40" s="232" t="str">
        <f>IF(H40="","",IF(H40="Muy Baja",0.2,IF(H40="Baja",0.4,IF(H40="Media",0.6,IF(H40="Alta",0.8,IF(H40="Muy Alta",1,))))))</f>
        <v/>
      </c>
      <c r="J40" s="235"/>
      <c r="K40" s="232">
        <f>IF(NOT(ISERROR(MATCH(J40,'Tabla Impacto'!$B$221:$B$223,0))),'Tabla Impacto'!$F$223&amp;"Por favor no seleccionar los criterios de impacto(Afectación Económica o presupuestal y Pérdida Reputacional)",J40)</f>
        <v>0</v>
      </c>
      <c r="L40" s="220" t="str">
        <f>IF(OR(K40='Tabla Impacto'!$C$11,K40='Tabla Impacto'!$D$11),"Leve",IF(OR(K40='Tabla Impacto'!$C$12,K40='Tabla Impacto'!$D$12),"Menor",IF(OR(K40='Tabla Impacto'!$C$13,K40='Tabla Impacto'!$D$13),"Moderado",IF(OR(K40='Tabla Impacto'!$C$14,K40='Tabla Impacto'!$D$14),"Mayor",IF(OR(K40='Tabla Impacto'!$C$15,K40='Tabla Impacto'!$D$15),"Catastrófico","")))))</f>
        <v/>
      </c>
      <c r="M40" s="232" t="str">
        <f>IF(L40="","",IF(L40="Leve",0.2,IF(L40="Menor",0.4,IF(L40="Moderado",0.6,IF(L40="Mayor",0.8,IF(L40="Catastrófico",1,))))))</f>
        <v/>
      </c>
      <c r="N40" s="22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6">
        <v>1</v>
      </c>
      <c r="P40" s="49"/>
      <c r="Q40" s="51" t="str">
        <f>IF(OR(R40="Preventivo",R40="Detectivo"),"Probabilidad",IF(R40="Correctivo","Impacto",""))</f>
        <v/>
      </c>
      <c r="R40" s="52"/>
      <c r="S40" s="52"/>
      <c r="T40" s="53" t="str">
        <f>IF(AND(R40="Preventivo",S40="Automático"),"50%",IF(AND(R40="Preventivo",S40="Manual"),"40%",IF(AND(R40="Detectivo",S40="Automático"),"40%",IF(AND(R40="Detectivo",S40="Manual"),"30%",IF(AND(R40="Correctivo",S40="Automático"),"35%",IF(AND(R40="Correctivo",S40="Manual"),"25%",""))))))</f>
        <v/>
      </c>
      <c r="U40" s="52"/>
      <c r="V40" s="52"/>
      <c r="W40" s="52"/>
      <c r="X40" s="24" t="str">
        <f>IFERROR(IF(Q40="Probabilidad",(I40-(+I40*T40)),IF(Q40="Impacto",I40,"")),"")</f>
        <v/>
      </c>
      <c r="Y40" s="54" t="str">
        <f>IFERROR(IF(X40="","",IF(X40&lt;=0.2,"Muy Baja",IF(X40&lt;=0.4,"Baja",IF(X40&lt;=0.6,"Media",IF(X40&lt;=0.8,"Alta","Muy Alta"))))),"")</f>
        <v/>
      </c>
      <c r="Z40" s="55" t="str">
        <f>+X40</f>
        <v/>
      </c>
      <c r="AA40" s="54" t="str">
        <f>IFERROR(IF(AB40="","",IF(AB40&lt;=0.2,"Leve",IF(AB40&lt;=0.4,"Menor",IF(AB40&lt;=0.6,"Moderado",IF(AB40&lt;=0.8,"Mayor","Catastrófico"))))),"")</f>
        <v/>
      </c>
      <c r="AB40" s="55" t="str">
        <f>IFERROR(IF(Q40="Impacto",(M40-(+M40*T40)),IF(Q40="Probabilidad",M40,"")),"")</f>
        <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7"/>
      <c r="AE40" s="58"/>
      <c r="AF40" s="48"/>
      <c r="AG40" s="59"/>
      <c r="AH40" s="59"/>
      <c r="AI40" s="58"/>
      <c r="AJ40" s="4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4"/>
      <c r="B41" s="215"/>
      <c r="C41" s="215"/>
      <c r="D41" s="215"/>
      <c r="E41" s="227"/>
      <c r="F41" s="215"/>
      <c r="G41" s="218"/>
      <c r="H41" s="221"/>
      <c r="I41" s="233"/>
      <c r="J41" s="236"/>
      <c r="K41" s="233">
        <f t="shared" ref="K41:K45" si="39">IF(NOT(ISERROR(MATCH(J41,_xlfn.ANCHORARRAY(E52),0))),I54&amp;"Por favor no seleccionar los criterios de impacto",J41)</f>
        <v>0</v>
      </c>
      <c r="L41" s="221"/>
      <c r="M41" s="233"/>
      <c r="N41" s="230"/>
      <c r="O41" s="6">
        <v>2</v>
      </c>
      <c r="P41" s="49"/>
      <c r="Q41" s="51" t="str">
        <f>IF(OR(R41="Preventivo",R41="Detectivo"),"Probabilidad",IF(R41="Correctivo","Impacto",""))</f>
        <v/>
      </c>
      <c r="R41" s="52"/>
      <c r="S41" s="52"/>
      <c r="T41" s="53" t="str">
        <f t="shared" ref="T41:T45" si="40">IF(AND(R41="Preventivo",S41="Automático"),"50%",IF(AND(R41="Preventivo",S41="Manual"),"40%",IF(AND(R41="Detectivo",S41="Automático"),"40%",IF(AND(R41="Detectivo",S41="Manual"),"30%",IF(AND(R41="Correctivo",S41="Automático"),"35%",IF(AND(R41="Correctivo",S41="Manual"),"25%",""))))))</f>
        <v/>
      </c>
      <c r="U41" s="52"/>
      <c r="V41" s="52"/>
      <c r="W41" s="52"/>
      <c r="X41" s="24" t="str">
        <f>IFERROR(IF(AND(Q40="Probabilidad",Q41="Probabilidad"),(Z40-(+Z40*T41)),IF(Q41="Probabilidad",(I40-(+I40*T41)),IF(Q41="Impacto",Z40,""))),"")</f>
        <v/>
      </c>
      <c r="Y41" s="54" t="str">
        <f t="shared" si="1"/>
        <v/>
      </c>
      <c r="Z41" s="55" t="str">
        <f t="shared" ref="Z41:Z45" si="41">+X41</f>
        <v/>
      </c>
      <c r="AA41" s="54" t="str">
        <f t="shared" si="3"/>
        <v/>
      </c>
      <c r="AB41" s="55" t="str">
        <f>IFERROR(IF(AND(Q40="Impacto",Q41="Impacto"),(AB34-(+AB34*T41)),IF(Q41="Impacto",($M$40-(+$M$40*T41)),IF(Q41="Probabilidad",AB34,""))),"")</f>
        <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4"/>
      <c r="B42" s="215"/>
      <c r="C42" s="215"/>
      <c r="D42" s="215"/>
      <c r="E42" s="227"/>
      <c r="F42" s="215"/>
      <c r="G42" s="218"/>
      <c r="H42" s="221"/>
      <c r="I42" s="233"/>
      <c r="J42" s="236"/>
      <c r="K42" s="233">
        <f t="shared" si="39"/>
        <v>0</v>
      </c>
      <c r="L42" s="221"/>
      <c r="M42" s="233"/>
      <c r="N42" s="230"/>
      <c r="O42" s="6">
        <v>3</v>
      </c>
      <c r="P42" s="50"/>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4"/>
      <c r="B43" s="215"/>
      <c r="C43" s="215"/>
      <c r="D43" s="215"/>
      <c r="E43" s="227"/>
      <c r="F43" s="215"/>
      <c r="G43" s="218"/>
      <c r="H43" s="221"/>
      <c r="I43" s="233"/>
      <c r="J43" s="236"/>
      <c r="K43" s="233">
        <f t="shared" si="39"/>
        <v>0</v>
      </c>
      <c r="L43" s="221"/>
      <c r="M43" s="233"/>
      <c r="N43" s="230"/>
      <c r="O43" s="6">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4"/>
      <c r="B44" s="215"/>
      <c r="C44" s="215"/>
      <c r="D44" s="215"/>
      <c r="E44" s="227"/>
      <c r="F44" s="215"/>
      <c r="G44" s="218"/>
      <c r="H44" s="221"/>
      <c r="I44" s="233"/>
      <c r="J44" s="236"/>
      <c r="K44" s="233">
        <f t="shared" si="39"/>
        <v>0</v>
      </c>
      <c r="L44" s="221"/>
      <c r="M44" s="233"/>
      <c r="N44" s="230"/>
      <c r="O44" s="6">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5"/>
      <c r="B45" s="216"/>
      <c r="C45" s="216"/>
      <c r="D45" s="216"/>
      <c r="E45" s="228"/>
      <c r="F45" s="216"/>
      <c r="G45" s="219"/>
      <c r="H45" s="222"/>
      <c r="I45" s="234"/>
      <c r="J45" s="237"/>
      <c r="K45" s="234">
        <f t="shared" si="39"/>
        <v>0</v>
      </c>
      <c r="L45" s="222"/>
      <c r="M45" s="234"/>
      <c r="N45" s="231"/>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3">
        <v>7</v>
      </c>
      <c r="B46" s="214"/>
      <c r="C46" s="214"/>
      <c r="D46" s="214"/>
      <c r="E46" s="226"/>
      <c r="F46" s="214"/>
      <c r="G46" s="217"/>
      <c r="H46" s="220" t="str">
        <f>IF(G46&lt;=0,"",IF(G46&lt;=2,"Muy Baja",IF(G46&lt;=24,"Baja",IF(G46&lt;=500,"Media",IF(G46&lt;=5000,"Alta","Muy Alta")))))</f>
        <v/>
      </c>
      <c r="I46" s="232" t="str">
        <f>IF(H46="","",IF(H46="Muy Baja",0.2,IF(H46="Baja",0.4,IF(H46="Media",0.6,IF(H46="Alta",0.8,IF(H46="Muy Alta",1,))))))</f>
        <v/>
      </c>
      <c r="J46" s="235"/>
      <c r="K46" s="232">
        <f>IF(NOT(ISERROR(MATCH(J46,'Tabla Impacto'!$B$221:$B$223,0))),'Tabla Impacto'!$F$223&amp;"Por favor no seleccionar los criterios de impacto(Afectación Económica o presupuestal y Pérdida Reputacional)",J46)</f>
        <v>0</v>
      </c>
      <c r="L46" s="220" t="str">
        <f>IF(OR(K46='Tabla Impacto'!$C$11,K46='Tabla Impacto'!$D$11),"Leve",IF(OR(K46='Tabla Impacto'!$C$12,K46='Tabla Impacto'!$D$12),"Menor",IF(OR(K46='Tabla Impacto'!$C$13,K46='Tabla Impacto'!$D$13),"Moderado",IF(OR(K46='Tabla Impacto'!$C$14,K46='Tabla Impacto'!$D$14),"Mayor",IF(OR(K46='Tabla Impacto'!$C$15,K46='Tabla Impacto'!$D$15),"Catastrófico","")))))</f>
        <v/>
      </c>
      <c r="M46" s="232" t="str">
        <f>IF(L46="","",IF(L46="Leve",0.2,IF(L46="Menor",0.4,IF(L46="Moderado",0.6,IF(L46="Mayor",0.8,IF(L46="Catastrófico",1,))))))</f>
        <v/>
      </c>
      <c r="N46" s="22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4"/>
      <c r="B47" s="215"/>
      <c r="C47" s="215"/>
      <c r="D47" s="215"/>
      <c r="E47" s="227"/>
      <c r="F47" s="215"/>
      <c r="G47" s="218"/>
      <c r="H47" s="221"/>
      <c r="I47" s="233"/>
      <c r="J47" s="236"/>
      <c r="K47" s="233">
        <f t="shared" ref="K47:K51" si="47">IF(NOT(ISERROR(MATCH(J47,_xlfn.ANCHORARRAY(E58),0))),I60&amp;"Por favor no seleccionar los criterios de impacto",J47)</f>
        <v>0</v>
      </c>
      <c r="L47" s="221"/>
      <c r="M47" s="233"/>
      <c r="N47" s="230"/>
      <c r="O47" s="6">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4"/>
      <c r="B48" s="215"/>
      <c r="C48" s="215"/>
      <c r="D48" s="215"/>
      <c r="E48" s="227"/>
      <c r="F48" s="215"/>
      <c r="G48" s="218"/>
      <c r="H48" s="221"/>
      <c r="I48" s="233"/>
      <c r="J48" s="236"/>
      <c r="K48" s="233">
        <f t="shared" si="47"/>
        <v>0</v>
      </c>
      <c r="L48" s="221"/>
      <c r="M48" s="233"/>
      <c r="N48" s="230"/>
      <c r="O48" s="6">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4"/>
      <c r="B49" s="215"/>
      <c r="C49" s="215"/>
      <c r="D49" s="215"/>
      <c r="E49" s="227"/>
      <c r="F49" s="215"/>
      <c r="G49" s="218"/>
      <c r="H49" s="221"/>
      <c r="I49" s="233"/>
      <c r="J49" s="236"/>
      <c r="K49" s="233">
        <f t="shared" si="47"/>
        <v>0</v>
      </c>
      <c r="L49" s="221"/>
      <c r="M49" s="233"/>
      <c r="N49" s="230"/>
      <c r="O49" s="6">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4"/>
      <c r="B50" s="215"/>
      <c r="C50" s="215"/>
      <c r="D50" s="215"/>
      <c r="E50" s="227"/>
      <c r="F50" s="215"/>
      <c r="G50" s="218"/>
      <c r="H50" s="221"/>
      <c r="I50" s="233"/>
      <c r="J50" s="236"/>
      <c r="K50" s="233">
        <f t="shared" si="47"/>
        <v>0</v>
      </c>
      <c r="L50" s="221"/>
      <c r="M50" s="233"/>
      <c r="N50" s="230"/>
      <c r="O50" s="6">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5"/>
      <c r="B51" s="216"/>
      <c r="C51" s="216"/>
      <c r="D51" s="216"/>
      <c r="E51" s="228"/>
      <c r="F51" s="216"/>
      <c r="G51" s="219"/>
      <c r="H51" s="222"/>
      <c r="I51" s="234"/>
      <c r="J51" s="237"/>
      <c r="K51" s="234">
        <f t="shared" si="47"/>
        <v>0</v>
      </c>
      <c r="L51" s="222"/>
      <c r="M51" s="234"/>
      <c r="N51" s="231"/>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3">
        <v>8</v>
      </c>
      <c r="B52" s="214"/>
      <c r="C52" s="214"/>
      <c r="D52" s="214"/>
      <c r="E52" s="226"/>
      <c r="F52" s="214"/>
      <c r="G52" s="217"/>
      <c r="H52" s="220" t="str">
        <f>IF(G52&lt;=0,"",IF(G52&lt;=2,"Muy Baja",IF(G52&lt;=24,"Baja",IF(G52&lt;=500,"Media",IF(G52&lt;=5000,"Alta","Muy Alta")))))</f>
        <v/>
      </c>
      <c r="I52" s="232" t="str">
        <f>IF(H52="","",IF(H52="Muy Baja",0.2,IF(H52="Baja",0.4,IF(H52="Media",0.6,IF(H52="Alta",0.8,IF(H52="Muy Alta",1,))))))</f>
        <v/>
      </c>
      <c r="J52" s="235"/>
      <c r="K52" s="232">
        <f>IF(NOT(ISERROR(MATCH(J52,'Tabla Impacto'!$B$221:$B$223,0))),'Tabla Impacto'!$F$223&amp;"Por favor no seleccionar los criterios de impacto(Afectación Económica o presupuestal y Pérdida Reputacional)",J52)</f>
        <v>0</v>
      </c>
      <c r="L52" s="220" t="str">
        <f>IF(OR(K52='Tabla Impacto'!$C$11,K52='Tabla Impacto'!$D$11),"Leve",IF(OR(K52='Tabla Impacto'!$C$12,K52='Tabla Impacto'!$D$12),"Menor",IF(OR(K52='Tabla Impacto'!$C$13,K52='Tabla Impacto'!$D$13),"Moderado",IF(OR(K52='Tabla Impacto'!$C$14,K52='Tabla Impacto'!$D$14),"Mayor",IF(OR(K52='Tabla Impacto'!$C$15,K52='Tabla Impacto'!$D$15),"Catastrófico","")))))</f>
        <v/>
      </c>
      <c r="M52" s="232" t="str">
        <f>IF(L52="","",IF(L52="Leve",0.2,IF(L52="Menor",0.4,IF(L52="Moderado",0.6,IF(L52="Mayor",0.8,IF(L52="Catastrófico",1,))))))</f>
        <v/>
      </c>
      <c r="N52" s="22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4"/>
      <c r="B53" s="215"/>
      <c r="C53" s="215"/>
      <c r="D53" s="215"/>
      <c r="E53" s="227"/>
      <c r="F53" s="215"/>
      <c r="G53" s="218"/>
      <c r="H53" s="221"/>
      <c r="I53" s="233"/>
      <c r="J53" s="236"/>
      <c r="K53" s="233">
        <f>IF(NOT(ISERROR(MATCH(J53,_xlfn.ANCHORARRAY(E64),0))),I66&amp;"Por favor no seleccionar los criterios de impacto",J53)</f>
        <v>0</v>
      </c>
      <c r="L53" s="221"/>
      <c r="M53" s="233"/>
      <c r="N53" s="230"/>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4"/>
      <c r="B54" s="215"/>
      <c r="C54" s="215"/>
      <c r="D54" s="215"/>
      <c r="E54" s="227"/>
      <c r="F54" s="215"/>
      <c r="G54" s="218"/>
      <c r="H54" s="221"/>
      <c r="I54" s="233"/>
      <c r="J54" s="236"/>
      <c r="K54" s="233">
        <f>IF(NOT(ISERROR(MATCH(J54,_xlfn.ANCHORARRAY(E65),0))),I67&amp;"Por favor no seleccionar los criterios de impacto",J54)</f>
        <v>0</v>
      </c>
      <c r="L54" s="221"/>
      <c r="M54" s="233"/>
      <c r="N54" s="230"/>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4"/>
      <c r="B55" s="215"/>
      <c r="C55" s="215"/>
      <c r="D55" s="215"/>
      <c r="E55" s="227"/>
      <c r="F55" s="215"/>
      <c r="G55" s="218"/>
      <c r="H55" s="221"/>
      <c r="I55" s="233"/>
      <c r="J55" s="236"/>
      <c r="K55" s="233">
        <f>IF(NOT(ISERROR(MATCH(J55,_xlfn.ANCHORARRAY(E66),0))),I68&amp;"Por favor no seleccionar los criterios de impacto",J55)</f>
        <v>0</v>
      </c>
      <c r="L55" s="221"/>
      <c r="M55" s="233"/>
      <c r="N55" s="230"/>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4"/>
      <c r="B56" s="215"/>
      <c r="C56" s="215"/>
      <c r="D56" s="215"/>
      <c r="E56" s="227"/>
      <c r="F56" s="215"/>
      <c r="G56" s="218"/>
      <c r="H56" s="221"/>
      <c r="I56" s="233"/>
      <c r="J56" s="236"/>
      <c r="K56" s="233">
        <f>IF(NOT(ISERROR(MATCH(J56,_xlfn.ANCHORARRAY(E67),0))),I69&amp;"Por favor no seleccionar los criterios de impacto",J56)</f>
        <v>0</v>
      </c>
      <c r="L56" s="221"/>
      <c r="M56" s="233"/>
      <c r="N56" s="230"/>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5"/>
      <c r="B57" s="216"/>
      <c r="C57" s="216"/>
      <c r="D57" s="216"/>
      <c r="E57" s="228"/>
      <c r="F57" s="216"/>
      <c r="G57" s="219"/>
      <c r="H57" s="222"/>
      <c r="I57" s="234"/>
      <c r="J57" s="237"/>
      <c r="K57" s="234">
        <f>IF(NOT(ISERROR(MATCH(J57,_xlfn.ANCHORARRAY(E68),0))),I70&amp;"Por favor no seleccionar los criterios de impacto",J57)</f>
        <v>0</v>
      </c>
      <c r="L57" s="222"/>
      <c r="M57" s="234"/>
      <c r="N57" s="231"/>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3">
        <v>9</v>
      </c>
      <c r="B58" s="214"/>
      <c r="C58" s="214"/>
      <c r="D58" s="214"/>
      <c r="E58" s="226"/>
      <c r="F58" s="214"/>
      <c r="G58" s="217"/>
      <c r="H58" s="220" t="str">
        <f>IF(G58&lt;=0,"",IF(G58&lt;=2,"Muy Baja",IF(G58&lt;=24,"Baja",IF(G58&lt;=500,"Media",IF(G58&lt;=5000,"Alta","Muy Alta")))))</f>
        <v/>
      </c>
      <c r="I58" s="232" t="str">
        <f>IF(H58="","",IF(H58="Muy Baja",0.2,IF(H58="Baja",0.4,IF(H58="Media",0.6,IF(H58="Alta",0.8,IF(H58="Muy Alta",1,))))))</f>
        <v/>
      </c>
      <c r="J58" s="235"/>
      <c r="K58" s="232">
        <f>IF(NOT(ISERROR(MATCH(J58,'Tabla Impacto'!$B$221:$B$223,0))),'Tabla Impacto'!$F$223&amp;"Por favor no seleccionar los criterios de impacto(Afectación Económica o presupuestal y Pérdida Reputacional)",J58)</f>
        <v>0</v>
      </c>
      <c r="L58" s="220" t="str">
        <f>IF(OR(K58='Tabla Impacto'!$C$11,K58='Tabla Impacto'!$D$11),"Leve",IF(OR(K58='Tabla Impacto'!$C$12,K58='Tabla Impacto'!$D$12),"Menor",IF(OR(K58='Tabla Impacto'!$C$13,K58='Tabla Impacto'!$D$13),"Moderado",IF(OR(K58='Tabla Impacto'!$C$14,K58='Tabla Impacto'!$D$14),"Mayor",IF(OR(K58='Tabla Impacto'!$C$15,K58='Tabla Impacto'!$D$15),"Catastrófico","")))))</f>
        <v/>
      </c>
      <c r="M58" s="232" t="str">
        <f>IF(L58="","",IF(L58="Leve",0.2,IF(L58="Menor",0.4,IF(L58="Moderado",0.6,IF(L58="Mayor",0.8,IF(L58="Catastrófico",1,))))))</f>
        <v/>
      </c>
      <c r="N58" s="22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4"/>
      <c r="B59" s="215"/>
      <c r="C59" s="215"/>
      <c r="D59" s="215"/>
      <c r="E59" s="227"/>
      <c r="F59" s="215"/>
      <c r="G59" s="218"/>
      <c r="H59" s="221"/>
      <c r="I59" s="233"/>
      <c r="J59" s="236"/>
      <c r="K59" s="233">
        <f>IF(NOT(ISERROR(MATCH(J59,_xlfn.ANCHORARRAY(E70),0))),I72&amp;"Por favor no seleccionar los criterios de impacto",J59)</f>
        <v>0</v>
      </c>
      <c r="L59" s="221"/>
      <c r="M59" s="233"/>
      <c r="N59" s="230"/>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4"/>
      <c r="B60" s="215"/>
      <c r="C60" s="215"/>
      <c r="D60" s="215"/>
      <c r="E60" s="227"/>
      <c r="F60" s="215"/>
      <c r="G60" s="218"/>
      <c r="H60" s="221"/>
      <c r="I60" s="233"/>
      <c r="J60" s="236"/>
      <c r="K60" s="233">
        <f>IF(NOT(ISERROR(MATCH(J60,_xlfn.ANCHORARRAY(E71),0))),I73&amp;"Por favor no seleccionar los criterios de impacto",J60)</f>
        <v>0</v>
      </c>
      <c r="L60" s="221"/>
      <c r="M60" s="233"/>
      <c r="N60" s="230"/>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4"/>
      <c r="B61" s="215"/>
      <c r="C61" s="215"/>
      <c r="D61" s="215"/>
      <c r="E61" s="227"/>
      <c r="F61" s="215"/>
      <c r="G61" s="218"/>
      <c r="H61" s="221"/>
      <c r="I61" s="233"/>
      <c r="J61" s="236"/>
      <c r="K61" s="233">
        <f>IF(NOT(ISERROR(MATCH(J61,_xlfn.ANCHORARRAY(E72),0))),I74&amp;"Por favor no seleccionar los criterios de impacto",J61)</f>
        <v>0</v>
      </c>
      <c r="L61" s="221"/>
      <c r="M61" s="233"/>
      <c r="N61" s="230"/>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4"/>
      <c r="B62" s="215"/>
      <c r="C62" s="215"/>
      <c r="D62" s="215"/>
      <c r="E62" s="227"/>
      <c r="F62" s="215"/>
      <c r="G62" s="218"/>
      <c r="H62" s="221"/>
      <c r="I62" s="233"/>
      <c r="J62" s="236"/>
      <c r="K62" s="233">
        <f>IF(NOT(ISERROR(MATCH(J62,_xlfn.ANCHORARRAY(E73),0))),I75&amp;"Por favor no seleccionar los criterios de impacto",J62)</f>
        <v>0</v>
      </c>
      <c r="L62" s="221"/>
      <c r="M62" s="233"/>
      <c r="N62" s="230"/>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5"/>
      <c r="B63" s="216"/>
      <c r="C63" s="216"/>
      <c r="D63" s="216"/>
      <c r="E63" s="228"/>
      <c r="F63" s="216"/>
      <c r="G63" s="219"/>
      <c r="H63" s="222"/>
      <c r="I63" s="234"/>
      <c r="J63" s="237"/>
      <c r="K63" s="234">
        <f>IF(NOT(ISERROR(MATCH(J63,_xlfn.ANCHORARRAY(E74),0))),I76&amp;"Por favor no seleccionar los criterios de impacto",J63)</f>
        <v>0</v>
      </c>
      <c r="L63" s="222"/>
      <c r="M63" s="234"/>
      <c r="N63" s="231"/>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3">
        <v>10</v>
      </c>
      <c r="B64" s="214"/>
      <c r="C64" s="214"/>
      <c r="D64" s="214"/>
      <c r="E64" s="226"/>
      <c r="F64" s="214"/>
      <c r="G64" s="217"/>
      <c r="H64" s="220" t="str">
        <f>IF(G64&lt;=0,"",IF(G64&lt;=2,"Muy Baja",IF(G64&lt;=24,"Baja",IF(G64&lt;=500,"Media",IF(G64&lt;=5000,"Alta","Muy Alta")))))</f>
        <v/>
      </c>
      <c r="I64" s="232" t="str">
        <f>IF(H64="","",IF(H64="Muy Baja",0.2,IF(H64="Baja",0.4,IF(H64="Media",0.6,IF(H64="Alta",0.8,IF(H64="Muy Alta",1,))))))</f>
        <v/>
      </c>
      <c r="J64" s="235"/>
      <c r="K64" s="232">
        <f>IF(NOT(ISERROR(MATCH(J64,'Tabla Impacto'!$B$221:$B$223,0))),'Tabla Impacto'!$F$223&amp;"Por favor no seleccionar los criterios de impacto(Afectación Económica o presupuestal y Pérdida Reputacional)",J64)</f>
        <v>0</v>
      </c>
      <c r="L64" s="220" t="str">
        <f>IF(OR(K64='Tabla Impacto'!$C$11,K64='Tabla Impacto'!$D$11),"Leve",IF(OR(K64='Tabla Impacto'!$C$12,K64='Tabla Impacto'!$D$12),"Menor",IF(OR(K64='Tabla Impacto'!$C$13,K64='Tabla Impacto'!$D$13),"Moderado",IF(OR(K64='Tabla Impacto'!$C$14,K64='Tabla Impacto'!$D$14),"Mayor",IF(OR(K64='Tabla Impacto'!$C$15,K64='Tabla Impacto'!$D$15),"Catastrófico","")))))</f>
        <v/>
      </c>
      <c r="M64" s="232" t="str">
        <f>IF(L64="","",IF(L64="Leve",0.2,IF(L64="Menor",0.4,IF(L64="Moderado",0.6,IF(L64="Mayor",0.8,IF(L64="Catastrófico",1,))))))</f>
        <v/>
      </c>
      <c r="N64" s="22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4"/>
      <c r="B65" s="215"/>
      <c r="C65" s="215"/>
      <c r="D65" s="215"/>
      <c r="E65" s="227"/>
      <c r="F65" s="215"/>
      <c r="G65" s="218"/>
      <c r="H65" s="221"/>
      <c r="I65" s="233"/>
      <c r="J65" s="236"/>
      <c r="K65" s="233">
        <f>IF(NOT(ISERROR(MATCH(J65,_xlfn.ANCHORARRAY(E76),0))),I78&amp;"Por favor no seleccionar los criterios de impacto",J65)</f>
        <v>0</v>
      </c>
      <c r="L65" s="221"/>
      <c r="M65" s="233"/>
      <c r="N65" s="230"/>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24"/>
      <c r="B66" s="215"/>
      <c r="C66" s="215"/>
      <c r="D66" s="215"/>
      <c r="E66" s="227"/>
      <c r="F66" s="215"/>
      <c r="G66" s="218"/>
      <c r="H66" s="221"/>
      <c r="I66" s="233"/>
      <c r="J66" s="236"/>
      <c r="K66" s="233">
        <f>IF(NOT(ISERROR(MATCH(J66,_xlfn.ANCHORARRAY(E77),0))),I79&amp;"Por favor no seleccionar los criterios de impacto",J66)</f>
        <v>0</v>
      </c>
      <c r="L66" s="221"/>
      <c r="M66" s="233"/>
      <c r="N66" s="230"/>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24"/>
      <c r="B67" s="215"/>
      <c r="C67" s="215"/>
      <c r="D67" s="215"/>
      <c r="E67" s="227"/>
      <c r="F67" s="215"/>
      <c r="G67" s="218"/>
      <c r="H67" s="221"/>
      <c r="I67" s="233"/>
      <c r="J67" s="236"/>
      <c r="K67" s="233">
        <f>IF(NOT(ISERROR(MATCH(J67,_xlfn.ANCHORARRAY(E78),0))),I80&amp;"Por favor no seleccionar los criterios de impacto",J67)</f>
        <v>0</v>
      </c>
      <c r="L67" s="221"/>
      <c r="M67" s="233"/>
      <c r="N67" s="230"/>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24"/>
      <c r="B68" s="215"/>
      <c r="C68" s="215"/>
      <c r="D68" s="215"/>
      <c r="E68" s="227"/>
      <c r="F68" s="215"/>
      <c r="G68" s="218"/>
      <c r="H68" s="221"/>
      <c r="I68" s="233"/>
      <c r="J68" s="236"/>
      <c r="K68" s="233">
        <f>IF(NOT(ISERROR(MATCH(J68,_xlfn.ANCHORARRAY(E79),0))),I81&amp;"Por favor no seleccionar los criterios de impacto",J68)</f>
        <v>0</v>
      </c>
      <c r="L68" s="221"/>
      <c r="M68" s="233"/>
      <c r="N68" s="230"/>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25"/>
      <c r="B69" s="216"/>
      <c r="C69" s="216"/>
      <c r="D69" s="216"/>
      <c r="E69" s="228"/>
      <c r="F69" s="216"/>
      <c r="G69" s="219"/>
      <c r="H69" s="222"/>
      <c r="I69" s="234"/>
      <c r="J69" s="237"/>
      <c r="K69" s="234">
        <f>IF(NOT(ISERROR(MATCH(J69,_xlfn.ANCHORARRAY(E80),0))),I82&amp;"Por favor no seleccionar los criterios de impacto",J69)</f>
        <v>0</v>
      </c>
      <c r="L69" s="222"/>
      <c r="M69" s="234"/>
      <c r="N69" s="231"/>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70" t="s">
        <v>131</v>
      </c>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2"/>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AI10:AI22 AI24:AI69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30" zoomScaleNormal="30" workbookViewId="0">
      <selection activeCell="AB14" sqref="AB14:AC15"/>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273" t="s">
        <v>161</v>
      </c>
      <c r="C2" s="273"/>
      <c r="D2" s="273"/>
      <c r="E2" s="273"/>
      <c r="F2" s="273"/>
      <c r="G2" s="273"/>
      <c r="H2" s="273"/>
      <c r="I2" s="273"/>
      <c r="J2" s="310" t="s">
        <v>2</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273"/>
      <c r="C3" s="273"/>
      <c r="D3" s="273"/>
      <c r="E3" s="273"/>
      <c r="F3" s="273"/>
      <c r="G3" s="273"/>
      <c r="H3" s="273"/>
      <c r="I3" s="273"/>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273"/>
      <c r="C4" s="273"/>
      <c r="D4" s="273"/>
      <c r="E4" s="273"/>
      <c r="F4" s="273"/>
      <c r="G4" s="273"/>
      <c r="H4" s="273"/>
      <c r="I4" s="273"/>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321" t="s">
        <v>4</v>
      </c>
      <c r="C6" s="321"/>
      <c r="D6" s="322"/>
      <c r="E6" s="311" t="s">
        <v>116</v>
      </c>
      <c r="F6" s="312"/>
      <c r="G6" s="312"/>
      <c r="H6" s="312"/>
      <c r="I6" s="313"/>
      <c r="J6" s="307" t="str">
        <f>IF(AND('Mapa final'!$H$10="Muy Alta",'Mapa final'!$L$10="Leve"),CONCATENATE("R",'Mapa final'!$A$10),"")</f>
        <v/>
      </c>
      <c r="K6" s="308"/>
      <c r="L6" s="308" t="str">
        <f>IF(AND('Mapa final'!$H$16="Muy Alta",'Mapa final'!$L$16="Leve"),CONCATENATE("R",'Mapa final'!$A$16),"")</f>
        <v/>
      </c>
      <c r="M6" s="308"/>
      <c r="N6" s="308" t="str">
        <f>IF(AND('Mapa final'!$H$22="Muy Alta",'Mapa final'!$L$22="Leve"),CONCATENATE("R",'Mapa final'!$A$22),"")</f>
        <v/>
      </c>
      <c r="O6" s="309"/>
      <c r="P6" s="307" t="str">
        <f>IF(AND('Mapa final'!$H$10="Muy Alta",'Mapa final'!$L$10="Menor"),CONCATENATE("R",'Mapa final'!$A$10),"")</f>
        <v/>
      </c>
      <c r="Q6" s="308"/>
      <c r="R6" s="308" t="str">
        <f>IF(AND('Mapa final'!$H$16="Muy Alta",'Mapa final'!$L$16="Menor"),CONCATENATE("R",'Mapa final'!$A$16),"")</f>
        <v/>
      </c>
      <c r="S6" s="308"/>
      <c r="T6" s="308" t="str">
        <f>IF(AND('Mapa final'!$H$22="Muy Alta",'Mapa final'!$L$22="Menor"),CONCATENATE("R",'Mapa final'!$A$22),"")</f>
        <v/>
      </c>
      <c r="U6" s="309"/>
      <c r="V6" s="307" t="str">
        <f>IF(AND('Mapa final'!$H$10="Muy Alta",'Mapa final'!$L$10="Moderado"),CONCATENATE("R",'Mapa final'!$A$10),"")</f>
        <v/>
      </c>
      <c r="W6" s="308"/>
      <c r="X6" s="308" t="str">
        <f>IF(AND('Mapa final'!$H$16="Muy Alta",'Mapa final'!$L$16="Moderado"),CONCATENATE("R",'Mapa final'!$A$16),"")</f>
        <v/>
      </c>
      <c r="Y6" s="308"/>
      <c r="Z6" s="308" t="str">
        <f>IF(AND('Mapa final'!$H$22="Muy Alta",'Mapa final'!$L$22="Moderado"),CONCATENATE("R",'Mapa final'!$A$22),"")</f>
        <v/>
      </c>
      <c r="AA6" s="309"/>
      <c r="AB6" s="307" t="str">
        <f>IF(AND('Mapa final'!$H$10="Muy Alta",'Mapa final'!$L$10="Mayor"),CONCATENATE("R",'Mapa final'!$A$10),"")</f>
        <v/>
      </c>
      <c r="AC6" s="308"/>
      <c r="AD6" s="308" t="str">
        <f>IF(AND('Mapa final'!$H$16="Muy Alta",'Mapa final'!$L$16="Mayor"),CONCATENATE("R",'Mapa final'!$A$16),"")</f>
        <v/>
      </c>
      <c r="AE6" s="308"/>
      <c r="AF6" s="308" t="str">
        <f>IF(AND('Mapa final'!$H$22="Muy Alta",'Mapa final'!$L$22="Mayor"),CONCATENATE("R",'Mapa final'!$A$22),"")</f>
        <v/>
      </c>
      <c r="AG6" s="309"/>
      <c r="AH6" s="298" t="str">
        <f>IF(AND('Mapa final'!$H$10="Muy Alta",'Mapa final'!$L$10="Catastrófico"),CONCATENATE("R",'Mapa final'!$A$10),"")</f>
        <v/>
      </c>
      <c r="AI6" s="299"/>
      <c r="AJ6" s="299" t="str">
        <f>IF(AND('Mapa final'!$H$16="Muy Alta",'Mapa final'!$L$16="Catastrófico"),CONCATENATE("R",'Mapa final'!$A$16),"")</f>
        <v/>
      </c>
      <c r="AK6" s="299"/>
      <c r="AL6" s="299" t="str">
        <f>IF(AND('Mapa final'!$H$22="Muy Alta",'Mapa final'!$L$22="Catastrófico"),CONCATENATE("R",'Mapa final'!$A$22),"")</f>
        <v/>
      </c>
      <c r="AM6" s="300"/>
      <c r="AO6" s="323" t="s">
        <v>79</v>
      </c>
      <c r="AP6" s="324"/>
      <c r="AQ6" s="324"/>
      <c r="AR6" s="324"/>
      <c r="AS6" s="324"/>
      <c r="AT6" s="32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321"/>
      <c r="C7" s="321"/>
      <c r="D7" s="322"/>
      <c r="E7" s="314"/>
      <c r="F7" s="315"/>
      <c r="G7" s="315"/>
      <c r="H7" s="315"/>
      <c r="I7" s="316"/>
      <c r="J7" s="301"/>
      <c r="K7" s="302"/>
      <c r="L7" s="302"/>
      <c r="M7" s="302"/>
      <c r="N7" s="302"/>
      <c r="O7" s="303"/>
      <c r="P7" s="301"/>
      <c r="Q7" s="302"/>
      <c r="R7" s="302"/>
      <c r="S7" s="302"/>
      <c r="T7" s="302"/>
      <c r="U7" s="303"/>
      <c r="V7" s="301"/>
      <c r="W7" s="302"/>
      <c r="X7" s="302"/>
      <c r="Y7" s="302"/>
      <c r="Z7" s="302"/>
      <c r="AA7" s="303"/>
      <c r="AB7" s="301"/>
      <c r="AC7" s="302"/>
      <c r="AD7" s="302"/>
      <c r="AE7" s="302"/>
      <c r="AF7" s="302"/>
      <c r="AG7" s="303"/>
      <c r="AH7" s="292"/>
      <c r="AI7" s="293"/>
      <c r="AJ7" s="293"/>
      <c r="AK7" s="293"/>
      <c r="AL7" s="293"/>
      <c r="AM7" s="294"/>
      <c r="AN7" s="97"/>
      <c r="AO7" s="326"/>
      <c r="AP7" s="327"/>
      <c r="AQ7" s="327"/>
      <c r="AR7" s="327"/>
      <c r="AS7" s="327"/>
      <c r="AT7" s="32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321"/>
      <c r="C8" s="321"/>
      <c r="D8" s="322"/>
      <c r="E8" s="314"/>
      <c r="F8" s="315"/>
      <c r="G8" s="315"/>
      <c r="H8" s="315"/>
      <c r="I8" s="316"/>
      <c r="J8" s="301" t="str">
        <f>IF(AND('Mapa final'!$H$28="Muy Alta",'Mapa final'!$L$28="Leve"),CONCATENATE("R",'Mapa final'!$A$28),"")</f>
        <v/>
      </c>
      <c r="K8" s="302"/>
      <c r="L8" s="302" t="str">
        <f>IF(AND('Mapa final'!$H$34="Muy Alta",'Mapa final'!$L$34="Leve"),CONCATENATE("R",'Mapa final'!$A$34),"")</f>
        <v/>
      </c>
      <c r="M8" s="302"/>
      <c r="N8" s="302" t="str">
        <f>IF(AND('Mapa final'!$H$40="Muy Alta",'Mapa final'!$L$40="Leve"),CONCATENATE("R",'Mapa final'!$A$40),"")</f>
        <v/>
      </c>
      <c r="O8" s="303"/>
      <c r="P8" s="301" t="str">
        <f>IF(AND('Mapa final'!$H$28="Muy Alta",'Mapa final'!$L$28="Menor"),CONCATENATE("R",'Mapa final'!$A$28),"")</f>
        <v/>
      </c>
      <c r="Q8" s="302"/>
      <c r="R8" s="302" t="str">
        <f>IF(AND('Mapa final'!$H$34="Muy Alta",'Mapa final'!$L$34="Menor"),CONCATENATE("R",'Mapa final'!$A$34),"")</f>
        <v/>
      </c>
      <c r="S8" s="302"/>
      <c r="T8" s="302" t="str">
        <f>IF(AND('Mapa final'!$H$40="Muy Alta",'Mapa final'!$L$40="Menor"),CONCATENATE("R",'Mapa final'!$A$40),"")</f>
        <v/>
      </c>
      <c r="U8" s="303"/>
      <c r="V8" s="301" t="str">
        <f>IF(AND('Mapa final'!$H$28="Muy Alta",'Mapa final'!$L$28="Moderado"),CONCATENATE("R",'Mapa final'!$A$28),"")</f>
        <v/>
      </c>
      <c r="W8" s="302"/>
      <c r="X8" s="302" t="str">
        <f>IF(AND('Mapa final'!$H$34="Muy Alta",'Mapa final'!$L$34="Moderado"),CONCATENATE("R",'Mapa final'!$A$34),"")</f>
        <v/>
      </c>
      <c r="Y8" s="302"/>
      <c r="Z8" s="302" t="str">
        <f>IF(AND('Mapa final'!$H$40="Muy Alta",'Mapa final'!$L$40="Moderado"),CONCATENATE("R",'Mapa final'!$A$40),"")</f>
        <v/>
      </c>
      <c r="AA8" s="303"/>
      <c r="AB8" s="301" t="str">
        <f>IF(AND('Mapa final'!$H$28="Muy Alta",'Mapa final'!$L$28="Mayor"),CONCATENATE("R",'Mapa final'!$A$28),"")</f>
        <v/>
      </c>
      <c r="AC8" s="302"/>
      <c r="AD8" s="302" t="str">
        <f>IF(AND('Mapa final'!$H$34="Muy Alta",'Mapa final'!$L$34="Mayor"),CONCATENATE("R",'Mapa final'!$A$34),"")</f>
        <v/>
      </c>
      <c r="AE8" s="302"/>
      <c r="AF8" s="302" t="str">
        <f>IF(AND('Mapa final'!$H$40="Muy Alta",'Mapa final'!$L$40="Mayor"),CONCATENATE("R",'Mapa final'!$A$40),"")</f>
        <v/>
      </c>
      <c r="AG8" s="303"/>
      <c r="AH8" s="292" t="str">
        <f>IF(AND('Mapa final'!$H$28="Muy Alta",'Mapa final'!$L$28="Catastrófico"),CONCATENATE("R",'Mapa final'!$A$28),"")</f>
        <v/>
      </c>
      <c r="AI8" s="293"/>
      <c r="AJ8" s="293" t="str">
        <f>IF(AND('Mapa final'!$H$34="Muy Alta",'Mapa final'!$L$34="Catastrófico"),CONCATENATE("R",'Mapa final'!$A$34),"")</f>
        <v/>
      </c>
      <c r="AK8" s="293"/>
      <c r="AL8" s="293" t="str">
        <f>IF(AND('Mapa final'!$H$40="Muy Alta",'Mapa final'!$L$40="Catastrófico"),CONCATENATE("R",'Mapa final'!$A$40),"")</f>
        <v/>
      </c>
      <c r="AM8" s="294"/>
      <c r="AN8" s="97"/>
      <c r="AO8" s="326"/>
      <c r="AP8" s="327"/>
      <c r="AQ8" s="327"/>
      <c r="AR8" s="327"/>
      <c r="AS8" s="327"/>
      <c r="AT8" s="32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321"/>
      <c r="C9" s="321"/>
      <c r="D9" s="322"/>
      <c r="E9" s="314"/>
      <c r="F9" s="315"/>
      <c r="G9" s="315"/>
      <c r="H9" s="315"/>
      <c r="I9" s="316"/>
      <c r="J9" s="301"/>
      <c r="K9" s="302"/>
      <c r="L9" s="302"/>
      <c r="M9" s="302"/>
      <c r="N9" s="302"/>
      <c r="O9" s="303"/>
      <c r="P9" s="301"/>
      <c r="Q9" s="302"/>
      <c r="R9" s="302"/>
      <c r="S9" s="302"/>
      <c r="T9" s="302"/>
      <c r="U9" s="303"/>
      <c r="V9" s="301"/>
      <c r="W9" s="302"/>
      <c r="X9" s="302"/>
      <c r="Y9" s="302"/>
      <c r="Z9" s="302"/>
      <c r="AA9" s="303"/>
      <c r="AB9" s="301"/>
      <c r="AC9" s="302"/>
      <c r="AD9" s="302"/>
      <c r="AE9" s="302"/>
      <c r="AF9" s="302"/>
      <c r="AG9" s="303"/>
      <c r="AH9" s="292"/>
      <c r="AI9" s="293"/>
      <c r="AJ9" s="293"/>
      <c r="AK9" s="293"/>
      <c r="AL9" s="293"/>
      <c r="AM9" s="294"/>
      <c r="AN9" s="97"/>
      <c r="AO9" s="326"/>
      <c r="AP9" s="327"/>
      <c r="AQ9" s="327"/>
      <c r="AR9" s="327"/>
      <c r="AS9" s="327"/>
      <c r="AT9" s="32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321"/>
      <c r="C10" s="321"/>
      <c r="D10" s="322"/>
      <c r="E10" s="314"/>
      <c r="F10" s="315"/>
      <c r="G10" s="315"/>
      <c r="H10" s="315"/>
      <c r="I10" s="316"/>
      <c r="J10" s="301" t="str">
        <f>IF(AND('Mapa final'!$H$46="Muy Alta",'Mapa final'!$L$46="Leve"),CONCATENATE("R",'Mapa final'!$A$46),"")</f>
        <v/>
      </c>
      <c r="K10" s="302"/>
      <c r="L10" s="302" t="str">
        <f>IF(AND('Mapa final'!$H$52="Muy Alta",'Mapa final'!$L$52="Leve"),CONCATENATE("R",'Mapa final'!$A$52),"")</f>
        <v/>
      </c>
      <c r="M10" s="302"/>
      <c r="N10" s="302" t="str">
        <f>IF(AND('Mapa final'!$H$58="Muy Alta",'Mapa final'!$L$58="Leve"),CONCATENATE("R",'Mapa final'!$A$58),"")</f>
        <v/>
      </c>
      <c r="O10" s="303"/>
      <c r="P10" s="301" t="str">
        <f>IF(AND('Mapa final'!$H$46="Muy Alta",'Mapa final'!$L$46="Menor"),CONCATENATE("R",'Mapa final'!$A$46),"")</f>
        <v/>
      </c>
      <c r="Q10" s="302"/>
      <c r="R10" s="302" t="str">
        <f>IF(AND('Mapa final'!$H$52="Muy Alta",'Mapa final'!$L$52="Menor"),CONCATENATE("R",'Mapa final'!$A$52),"")</f>
        <v/>
      </c>
      <c r="S10" s="302"/>
      <c r="T10" s="302" t="str">
        <f>IF(AND('Mapa final'!$H$58="Muy Alta",'Mapa final'!$L$58="Menor"),CONCATENATE("R",'Mapa final'!$A$58),"")</f>
        <v/>
      </c>
      <c r="U10" s="303"/>
      <c r="V10" s="301" t="str">
        <f>IF(AND('Mapa final'!$H$46="Muy Alta",'Mapa final'!$L$46="Moderado"),CONCATENATE("R",'Mapa final'!$A$46),"")</f>
        <v/>
      </c>
      <c r="W10" s="302"/>
      <c r="X10" s="302" t="str">
        <f>IF(AND('Mapa final'!$H$52="Muy Alta",'Mapa final'!$L$52="Moderado"),CONCATENATE("R",'Mapa final'!$A$52),"")</f>
        <v/>
      </c>
      <c r="Y10" s="302"/>
      <c r="Z10" s="302" t="str">
        <f>IF(AND('Mapa final'!$H$58="Muy Alta",'Mapa final'!$L$58="Moderado"),CONCATENATE("R",'Mapa final'!$A$58),"")</f>
        <v/>
      </c>
      <c r="AA10" s="303"/>
      <c r="AB10" s="301" t="str">
        <f>IF(AND('Mapa final'!$H$46="Muy Alta",'Mapa final'!$L$46="Mayor"),CONCATENATE("R",'Mapa final'!$A$46),"")</f>
        <v/>
      </c>
      <c r="AC10" s="302"/>
      <c r="AD10" s="302" t="str">
        <f>IF(AND('Mapa final'!$H$52="Muy Alta",'Mapa final'!$L$52="Mayor"),CONCATENATE("R",'Mapa final'!$A$52),"")</f>
        <v/>
      </c>
      <c r="AE10" s="302"/>
      <c r="AF10" s="302" t="str">
        <f>IF(AND('Mapa final'!$H$58="Muy Alta",'Mapa final'!$L$58="Mayor"),CONCATENATE("R",'Mapa final'!$A$58),"")</f>
        <v/>
      </c>
      <c r="AG10" s="303"/>
      <c r="AH10" s="292" t="str">
        <f>IF(AND('Mapa final'!$H$46="Muy Alta",'Mapa final'!$L$46="Catastrófico"),CONCATENATE("R",'Mapa final'!$A$46),"")</f>
        <v/>
      </c>
      <c r="AI10" s="293"/>
      <c r="AJ10" s="293" t="str">
        <f>IF(AND('Mapa final'!$H$52="Muy Alta",'Mapa final'!$L$52="Catastrófico"),CONCATENATE("R",'Mapa final'!$A$52),"")</f>
        <v/>
      </c>
      <c r="AK10" s="293"/>
      <c r="AL10" s="293" t="str">
        <f>IF(AND('Mapa final'!$H$58="Muy Alta",'Mapa final'!$L$58="Catastrófico"),CONCATENATE("R",'Mapa final'!$A$58),"")</f>
        <v/>
      </c>
      <c r="AM10" s="294"/>
      <c r="AN10" s="97"/>
      <c r="AO10" s="326"/>
      <c r="AP10" s="327"/>
      <c r="AQ10" s="327"/>
      <c r="AR10" s="327"/>
      <c r="AS10" s="327"/>
      <c r="AT10" s="32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321"/>
      <c r="C11" s="321"/>
      <c r="D11" s="322"/>
      <c r="E11" s="314"/>
      <c r="F11" s="315"/>
      <c r="G11" s="315"/>
      <c r="H11" s="315"/>
      <c r="I11" s="316"/>
      <c r="J11" s="301"/>
      <c r="K11" s="302"/>
      <c r="L11" s="302"/>
      <c r="M11" s="302"/>
      <c r="N11" s="302"/>
      <c r="O11" s="303"/>
      <c r="P11" s="301"/>
      <c r="Q11" s="302"/>
      <c r="R11" s="302"/>
      <c r="S11" s="302"/>
      <c r="T11" s="302"/>
      <c r="U11" s="303"/>
      <c r="V11" s="301"/>
      <c r="W11" s="302"/>
      <c r="X11" s="302"/>
      <c r="Y11" s="302"/>
      <c r="Z11" s="302"/>
      <c r="AA11" s="303"/>
      <c r="AB11" s="301"/>
      <c r="AC11" s="302"/>
      <c r="AD11" s="302"/>
      <c r="AE11" s="302"/>
      <c r="AF11" s="302"/>
      <c r="AG11" s="303"/>
      <c r="AH11" s="292"/>
      <c r="AI11" s="293"/>
      <c r="AJ11" s="293"/>
      <c r="AK11" s="293"/>
      <c r="AL11" s="293"/>
      <c r="AM11" s="294"/>
      <c r="AN11" s="97"/>
      <c r="AO11" s="326"/>
      <c r="AP11" s="327"/>
      <c r="AQ11" s="327"/>
      <c r="AR11" s="327"/>
      <c r="AS11" s="327"/>
      <c r="AT11" s="32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321"/>
      <c r="C12" s="321"/>
      <c r="D12" s="322"/>
      <c r="E12" s="314"/>
      <c r="F12" s="315"/>
      <c r="G12" s="315"/>
      <c r="H12" s="315"/>
      <c r="I12" s="316"/>
      <c r="J12" s="301" t="str">
        <f>IF(AND('Mapa final'!$H$64="Muy Alta",'Mapa final'!$L$64="Leve"),CONCATENATE("R",'Mapa final'!$A$64),"")</f>
        <v/>
      </c>
      <c r="K12" s="302"/>
      <c r="L12" s="302" t="str">
        <f>IF(AND('Mapa final'!$H$70="Muy Alta",'Mapa final'!$L$70="Leve"),CONCATENATE("R",'Mapa final'!$A$70),"")</f>
        <v/>
      </c>
      <c r="M12" s="302"/>
      <c r="N12" s="302" t="str">
        <f>IF(AND('Mapa final'!$H$76="Muy Alta",'Mapa final'!$L$76="Leve"),CONCATENATE("R",'Mapa final'!$A$76),"")</f>
        <v/>
      </c>
      <c r="O12" s="303"/>
      <c r="P12" s="301" t="str">
        <f>IF(AND('Mapa final'!$H$64="Muy Alta",'Mapa final'!$L$64="Menor"),CONCATENATE("R",'Mapa final'!$A$64),"")</f>
        <v/>
      </c>
      <c r="Q12" s="302"/>
      <c r="R12" s="302" t="str">
        <f>IF(AND('Mapa final'!$H$70="Muy Alta",'Mapa final'!$L$70="Menor"),CONCATENATE("R",'Mapa final'!$A$70),"")</f>
        <v/>
      </c>
      <c r="S12" s="302"/>
      <c r="T12" s="302" t="str">
        <f>IF(AND('Mapa final'!$H$76="Muy Alta",'Mapa final'!$L$76="Menor"),CONCATENATE("R",'Mapa final'!$A$76),"")</f>
        <v/>
      </c>
      <c r="U12" s="303"/>
      <c r="V12" s="301" t="str">
        <f>IF(AND('Mapa final'!$H$64="Muy Alta",'Mapa final'!$L$64="Moderado"),CONCATENATE("R",'Mapa final'!$A$64),"")</f>
        <v/>
      </c>
      <c r="W12" s="302"/>
      <c r="X12" s="302" t="str">
        <f>IF(AND('Mapa final'!$H$70="Muy Alta",'Mapa final'!$L$70="Moderado"),CONCATENATE("R",'Mapa final'!$A$70),"")</f>
        <v/>
      </c>
      <c r="Y12" s="302"/>
      <c r="Z12" s="302" t="str">
        <f>IF(AND('Mapa final'!$H$76="Muy Alta",'Mapa final'!$L$76="Moderado"),CONCATENATE("R",'Mapa final'!$A$76),"")</f>
        <v/>
      </c>
      <c r="AA12" s="303"/>
      <c r="AB12" s="301" t="str">
        <f>IF(AND('Mapa final'!$H$64="Muy Alta",'Mapa final'!$L$64="Mayor"),CONCATENATE("R",'Mapa final'!$A$64),"")</f>
        <v/>
      </c>
      <c r="AC12" s="302"/>
      <c r="AD12" s="302" t="str">
        <f>IF(AND('Mapa final'!$H$70="Muy Alta",'Mapa final'!$L$70="Mayor"),CONCATENATE("R",'Mapa final'!$A$70),"")</f>
        <v/>
      </c>
      <c r="AE12" s="302"/>
      <c r="AF12" s="302" t="str">
        <f>IF(AND('Mapa final'!$H$76="Muy Alta",'Mapa final'!$L$76="Mayor"),CONCATENATE("R",'Mapa final'!$A$76),"")</f>
        <v/>
      </c>
      <c r="AG12" s="303"/>
      <c r="AH12" s="292" t="str">
        <f>IF(AND('Mapa final'!$H$64="Muy Alta",'Mapa final'!$L$64="Catastrófico"),CONCATENATE("R",'Mapa final'!$A$64),"")</f>
        <v/>
      </c>
      <c r="AI12" s="293"/>
      <c r="AJ12" s="293" t="str">
        <f>IF(AND('Mapa final'!$H$70="Muy Alta",'Mapa final'!$L$70="Catastrófico"),CONCATENATE("R",'Mapa final'!$A$70),"")</f>
        <v/>
      </c>
      <c r="AK12" s="293"/>
      <c r="AL12" s="293" t="str">
        <f>IF(AND('Mapa final'!$H$76="Muy Alta",'Mapa final'!$L$76="Catastrófico"),CONCATENATE("R",'Mapa final'!$A$76),"")</f>
        <v/>
      </c>
      <c r="AM12" s="294"/>
      <c r="AN12" s="97"/>
      <c r="AO12" s="326"/>
      <c r="AP12" s="327"/>
      <c r="AQ12" s="327"/>
      <c r="AR12" s="327"/>
      <c r="AS12" s="327"/>
      <c r="AT12" s="32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321"/>
      <c r="C13" s="321"/>
      <c r="D13" s="322"/>
      <c r="E13" s="317"/>
      <c r="F13" s="318"/>
      <c r="G13" s="318"/>
      <c r="H13" s="318"/>
      <c r="I13" s="319"/>
      <c r="J13" s="301"/>
      <c r="K13" s="302"/>
      <c r="L13" s="302"/>
      <c r="M13" s="302"/>
      <c r="N13" s="302"/>
      <c r="O13" s="303"/>
      <c r="P13" s="301"/>
      <c r="Q13" s="302"/>
      <c r="R13" s="302"/>
      <c r="S13" s="302"/>
      <c r="T13" s="302"/>
      <c r="U13" s="303"/>
      <c r="V13" s="301"/>
      <c r="W13" s="302"/>
      <c r="X13" s="302"/>
      <c r="Y13" s="302"/>
      <c r="Z13" s="302"/>
      <c r="AA13" s="303"/>
      <c r="AB13" s="301"/>
      <c r="AC13" s="302"/>
      <c r="AD13" s="302"/>
      <c r="AE13" s="302"/>
      <c r="AF13" s="302"/>
      <c r="AG13" s="303"/>
      <c r="AH13" s="295"/>
      <c r="AI13" s="296"/>
      <c r="AJ13" s="296"/>
      <c r="AK13" s="296"/>
      <c r="AL13" s="296"/>
      <c r="AM13" s="297"/>
      <c r="AN13" s="97"/>
      <c r="AO13" s="329"/>
      <c r="AP13" s="330"/>
      <c r="AQ13" s="330"/>
      <c r="AR13" s="330"/>
      <c r="AS13" s="330"/>
      <c r="AT13" s="331"/>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321"/>
      <c r="C14" s="321"/>
      <c r="D14" s="322"/>
      <c r="E14" s="311" t="s">
        <v>115</v>
      </c>
      <c r="F14" s="312"/>
      <c r="G14" s="312"/>
      <c r="H14" s="312"/>
      <c r="I14" s="312"/>
      <c r="J14" s="289" t="str">
        <f>IF(AND('Mapa final'!$H$10="Alta",'Mapa final'!$L$10="Leve"),CONCATENATE("R",'Mapa final'!$A$10),"")</f>
        <v/>
      </c>
      <c r="K14" s="290"/>
      <c r="L14" s="290" t="str">
        <f>IF(AND('Mapa final'!$H$16="Alta",'Mapa final'!$L$16="Leve"),CONCATENATE("R",'Mapa final'!$A$16),"")</f>
        <v/>
      </c>
      <c r="M14" s="290"/>
      <c r="N14" s="290" t="str">
        <f>IF(AND('Mapa final'!$H$22="Alta",'Mapa final'!$L$22="Leve"),CONCATENATE("R",'Mapa final'!$A$22),"")</f>
        <v/>
      </c>
      <c r="O14" s="291"/>
      <c r="P14" s="289" t="str">
        <f>IF(AND('Mapa final'!$H$10="Alta",'Mapa final'!$L$10="Menor"),CONCATENATE("R",'Mapa final'!$A$10),"")</f>
        <v/>
      </c>
      <c r="Q14" s="290"/>
      <c r="R14" s="290" t="str">
        <f>IF(AND('Mapa final'!$H$16="Alta",'Mapa final'!$L$16="Menor"),CONCATENATE("R",'Mapa final'!$A$16),"")</f>
        <v/>
      </c>
      <c r="S14" s="290"/>
      <c r="T14" s="290" t="str">
        <f>IF(AND('Mapa final'!$H$22="Alta",'Mapa final'!$L$22="Menor"),CONCATENATE("R",'Mapa final'!$A$22),"")</f>
        <v/>
      </c>
      <c r="U14" s="291"/>
      <c r="V14" s="307" t="str">
        <f>IF(AND('Mapa final'!$H$10="Alta",'Mapa final'!$L$10="Moderado"),CONCATENATE("R",'Mapa final'!$A$10),"")</f>
        <v/>
      </c>
      <c r="W14" s="308"/>
      <c r="X14" s="308" t="str">
        <f>IF(AND('Mapa final'!$H$16="Alta",'Mapa final'!$L$16="Moderado"),CONCATENATE("R",'Mapa final'!$A$16),"")</f>
        <v/>
      </c>
      <c r="Y14" s="308"/>
      <c r="Z14" s="308" t="str">
        <f>IF(AND('Mapa final'!$H$22="Alta",'Mapa final'!$L$22="Moderado"),CONCATENATE("R",'Mapa final'!$A$22),"")</f>
        <v/>
      </c>
      <c r="AA14" s="309"/>
      <c r="AB14" s="307" t="str">
        <f>IF(AND('Mapa final'!$H$10="Alta",'Mapa final'!$L$10="Mayor"),CONCATENATE("R",'Mapa final'!$A$10),"")</f>
        <v>R1</v>
      </c>
      <c r="AC14" s="308"/>
      <c r="AD14" s="308" t="str">
        <f>IF(AND('Mapa final'!$H$16="Alta",'Mapa final'!$L$16="Mayor"),CONCATENATE("R",'Mapa final'!$A$16),"")</f>
        <v/>
      </c>
      <c r="AE14" s="308"/>
      <c r="AF14" s="308" t="str">
        <f>IF(AND('Mapa final'!$H$22="Alta",'Mapa final'!$L$22="Mayor"),CONCATENATE("R",'Mapa final'!$A$22),"")</f>
        <v/>
      </c>
      <c r="AG14" s="309"/>
      <c r="AH14" s="298" t="str">
        <f>IF(AND('Mapa final'!$H$10="Alta",'Mapa final'!$L$10="Catastrófico"),CONCATENATE("R",'Mapa final'!$A$10),"")</f>
        <v/>
      </c>
      <c r="AI14" s="299"/>
      <c r="AJ14" s="299" t="str">
        <f>IF(AND('Mapa final'!$H$16="Alta",'Mapa final'!$L$16="Catastrófico"),CONCATENATE("R",'Mapa final'!$A$16),"")</f>
        <v/>
      </c>
      <c r="AK14" s="299"/>
      <c r="AL14" s="299" t="str">
        <f>IF(AND('Mapa final'!$H$22="Alta",'Mapa final'!$L$22="Catastrófico"),CONCATENATE("R",'Mapa final'!$A$22),"")</f>
        <v/>
      </c>
      <c r="AM14" s="300"/>
      <c r="AN14" s="97"/>
      <c r="AO14" s="332" t="s">
        <v>80</v>
      </c>
      <c r="AP14" s="333"/>
      <c r="AQ14" s="333"/>
      <c r="AR14" s="333"/>
      <c r="AS14" s="333"/>
      <c r="AT14" s="334"/>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321"/>
      <c r="C15" s="321"/>
      <c r="D15" s="322"/>
      <c r="E15" s="314"/>
      <c r="F15" s="315"/>
      <c r="G15" s="315"/>
      <c r="H15" s="315"/>
      <c r="I15" s="315"/>
      <c r="J15" s="283"/>
      <c r="K15" s="284"/>
      <c r="L15" s="284"/>
      <c r="M15" s="284"/>
      <c r="N15" s="284"/>
      <c r="O15" s="285"/>
      <c r="P15" s="283"/>
      <c r="Q15" s="284"/>
      <c r="R15" s="284"/>
      <c r="S15" s="284"/>
      <c r="T15" s="284"/>
      <c r="U15" s="285"/>
      <c r="V15" s="301"/>
      <c r="W15" s="302"/>
      <c r="X15" s="302"/>
      <c r="Y15" s="302"/>
      <c r="Z15" s="302"/>
      <c r="AA15" s="303"/>
      <c r="AB15" s="301"/>
      <c r="AC15" s="302"/>
      <c r="AD15" s="302"/>
      <c r="AE15" s="302"/>
      <c r="AF15" s="302"/>
      <c r="AG15" s="303"/>
      <c r="AH15" s="292"/>
      <c r="AI15" s="293"/>
      <c r="AJ15" s="293"/>
      <c r="AK15" s="293"/>
      <c r="AL15" s="293"/>
      <c r="AM15" s="294"/>
      <c r="AN15" s="97"/>
      <c r="AO15" s="335"/>
      <c r="AP15" s="336"/>
      <c r="AQ15" s="336"/>
      <c r="AR15" s="336"/>
      <c r="AS15" s="336"/>
      <c r="AT15" s="33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321"/>
      <c r="C16" s="321"/>
      <c r="D16" s="322"/>
      <c r="E16" s="314"/>
      <c r="F16" s="315"/>
      <c r="G16" s="315"/>
      <c r="H16" s="315"/>
      <c r="I16" s="315"/>
      <c r="J16" s="283" t="str">
        <f>IF(AND('Mapa final'!$H$28="Alta",'Mapa final'!$L$28="Leve"),CONCATENATE("R",'Mapa final'!$A$28),"")</f>
        <v/>
      </c>
      <c r="K16" s="284"/>
      <c r="L16" s="284" t="str">
        <f>IF(AND('Mapa final'!$H$34="Alta",'Mapa final'!$L$34="Leve"),CONCATENATE("R",'Mapa final'!$A$34),"")</f>
        <v/>
      </c>
      <c r="M16" s="284"/>
      <c r="N16" s="284" t="str">
        <f>IF(AND('Mapa final'!$H$40="Alta",'Mapa final'!$L$40="Leve"),CONCATENATE("R",'Mapa final'!$A$40),"")</f>
        <v/>
      </c>
      <c r="O16" s="285"/>
      <c r="P16" s="283" t="str">
        <f>IF(AND('Mapa final'!$H$28="Alta",'Mapa final'!$L$28="Menor"),CONCATENATE("R",'Mapa final'!$A$28),"")</f>
        <v/>
      </c>
      <c r="Q16" s="284"/>
      <c r="R16" s="284" t="str">
        <f>IF(AND('Mapa final'!$H$34="Alta",'Mapa final'!$L$34="Menor"),CONCATENATE("R",'Mapa final'!$A$34),"")</f>
        <v/>
      </c>
      <c r="S16" s="284"/>
      <c r="T16" s="284" t="str">
        <f>IF(AND('Mapa final'!$H$40="Alta",'Mapa final'!$L$40="Menor"),CONCATENATE("R",'Mapa final'!$A$40),"")</f>
        <v/>
      </c>
      <c r="U16" s="285"/>
      <c r="V16" s="301" t="str">
        <f>IF(AND('Mapa final'!$H$28="Alta",'Mapa final'!$L$28="Moderado"),CONCATENATE("R",'Mapa final'!$A$28),"")</f>
        <v/>
      </c>
      <c r="W16" s="302"/>
      <c r="X16" s="302" t="str">
        <f>IF(AND('Mapa final'!$H$34="Alta",'Mapa final'!$L$34="Moderado"),CONCATENATE("R",'Mapa final'!$A$34),"")</f>
        <v/>
      </c>
      <c r="Y16" s="302"/>
      <c r="Z16" s="302" t="str">
        <f>IF(AND('Mapa final'!$H$40="Alta",'Mapa final'!$L$40="Moderado"),CONCATENATE("R",'Mapa final'!$A$40),"")</f>
        <v/>
      </c>
      <c r="AA16" s="303"/>
      <c r="AB16" s="301" t="str">
        <f>IF(AND('Mapa final'!$H$28="Alta",'Mapa final'!$L$28="Mayor"),CONCATENATE("R",'Mapa final'!$A$28),"")</f>
        <v/>
      </c>
      <c r="AC16" s="302"/>
      <c r="AD16" s="302" t="str">
        <f>IF(AND('Mapa final'!$H$34="Alta",'Mapa final'!$L$34="Mayor"),CONCATENATE("R",'Mapa final'!$A$34),"")</f>
        <v/>
      </c>
      <c r="AE16" s="302"/>
      <c r="AF16" s="302" t="str">
        <f>IF(AND('Mapa final'!$H$40="Alta",'Mapa final'!$L$40="Mayor"),CONCATENATE("R",'Mapa final'!$A$40),"")</f>
        <v/>
      </c>
      <c r="AG16" s="303"/>
      <c r="AH16" s="292" t="str">
        <f>IF(AND('Mapa final'!$H$28="Alta",'Mapa final'!$L$28="Catastrófico"),CONCATENATE("R",'Mapa final'!$A$28),"")</f>
        <v/>
      </c>
      <c r="AI16" s="293"/>
      <c r="AJ16" s="293" t="str">
        <f>IF(AND('Mapa final'!$H$34="Alta",'Mapa final'!$L$34="Catastrófico"),CONCATENATE("R",'Mapa final'!$A$34),"")</f>
        <v/>
      </c>
      <c r="AK16" s="293"/>
      <c r="AL16" s="293" t="str">
        <f>IF(AND('Mapa final'!$H$40="Alta",'Mapa final'!$L$40="Catastrófico"),CONCATENATE("R",'Mapa final'!$A$40),"")</f>
        <v/>
      </c>
      <c r="AM16" s="294"/>
      <c r="AN16" s="97"/>
      <c r="AO16" s="335"/>
      <c r="AP16" s="336"/>
      <c r="AQ16" s="336"/>
      <c r="AR16" s="336"/>
      <c r="AS16" s="336"/>
      <c r="AT16" s="33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321"/>
      <c r="C17" s="321"/>
      <c r="D17" s="322"/>
      <c r="E17" s="314"/>
      <c r="F17" s="315"/>
      <c r="G17" s="315"/>
      <c r="H17" s="315"/>
      <c r="I17" s="315"/>
      <c r="J17" s="283"/>
      <c r="K17" s="284"/>
      <c r="L17" s="284"/>
      <c r="M17" s="284"/>
      <c r="N17" s="284"/>
      <c r="O17" s="285"/>
      <c r="P17" s="283"/>
      <c r="Q17" s="284"/>
      <c r="R17" s="284"/>
      <c r="S17" s="284"/>
      <c r="T17" s="284"/>
      <c r="U17" s="285"/>
      <c r="V17" s="301"/>
      <c r="W17" s="302"/>
      <c r="X17" s="302"/>
      <c r="Y17" s="302"/>
      <c r="Z17" s="302"/>
      <c r="AA17" s="303"/>
      <c r="AB17" s="301"/>
      <c r="AC17" s="302"/>
      <c r="AD17" s="302"/>
      <c r="AE17" s="302"/>
      <c r="AF17" s="302"/>
      <c r="AG17" s="303"/>
      <c r="AH17" s="292"/>
      <c r="AI17" s="293"/>
      <c r="AJ17" s="293"/>
      <c r="AK17" s="293"/>
      <c r="AL17" s="293"/>
      <c r="AM17" s="294"/>
      <c r="AN17" s="97"/>
      <c r="AO17" s="335"/>
      <c r="AP17" s="336"/>
      <c r="AQ17" s="336"/>
      <c r="AR17" s="336"/>
      <c r="AS17" s="336"/>
      <c r="AT17" s="33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321"/>
      <c r="C18" s="321"/>
      <c r="D18" s="322"/>
      <c r="E18" s="314"/>
      <c r="F18" s="315"/>
      <c r="G18" s="315"/>
      <c r="H18" s="315"/>
      <c r="I18" s="315"/>
      <c r="J18" s="283" t="str">
        <f>IF(AND('Mapa final'!$H$46="Alta",'Mapa final'!$L$46="Leve"),CONCATENATE("R",'Mapa final'!$A$46),"")</f>
        <v/>
      </c>
      <c r="K18" s="284"/>
      <c r="L18" s="284" t="str">
        <f>IF(AND('Mapa final'!$H$52="Alta",'Mapa final'!$L$52="Leve"),CONCATENATE("R",'Mapa final'!$A$52),"")</f>
        <v/>
      </c>
      <c r="M18" s="284"/>
      <c r="N18" s="284" t="str">
        <f>IF(AND('Mapa final'!$H$58="Alta",'Mapa final'!$L$58="Leve"),CONCATENATE("R",'Mapa final'!$A$58),"")</f>
        <v/>
      </c>
      <c r="O18" s="285"/>
      <c r="P18" s="283" t="str">
        <f>IF(AND('Mapa final'!$H$46="Alta",'Mapa final'!$L$46="Menor"),CONCATENATE("R",'Mapa final'!$A$46),"")</f>
        <v/>
      </c>
      <c r="Q18" s="284"/>
      <c r="R18" s="284" t="str">
        <f>IF(AND('Mapa final'!$H$52="Alta",'Mapa final'!$L$52="Menor"),CONCATENATE("R",'Mapa final'!$A$52),"")</f>
        <v/>
      </c>
      <c r="S18" s="284"/>
      <c r="T18" s="284" t="str">
        <f>IF(AND('Mapa final'!$H$58="Alta",'Mapa final'!$L$58="Menor"),CONCATENATE("R",'Mapa final'!$A$58),"")</f>
        <v/>
      </c>
      <c r="U18" s="285"/>
      <c r="V18" s="301" t="str">
        <f>IF(AND('Mapa final'!$H$46="Alta",'Mapa final'!$L$46="Moderado"),CONCATENATE("R",'Mapa final'!$A$46),"")</f>
        <v/>
      </c>
      <c r="W18" s="302"/>
      <c r="X18" s="302" t="str">
        <f>IF(AND('Mapa final'!$H$52="Alta",'Mapa final'!$L$52="Moderado"),CONCATENATE("R",'Mapa final'!$A$52),"")</f>
        <v/>
      </c>
      <c r="Y18" s="302"/>
      <c r="Z18" s="302" t="str">
        <f>IF(AND('Mapa final'!$H$58="Alta",'Mapa final'!$L$58="Moderado"),CONCATENATE("R",'Mapa final'!$A$58),"")</f>
        <v/>
      </c>
      <c r="AA18" s="303"/>
      <c r="AB18" s="301" t="str">
        <f>IF(AND('Mapa final'!$H$46="Alta",'Mapa final'!$L$46="Mayor"),CONCATENATE("R",'Mapa final'!$A$46),"")</f>
        <v/>
      </c>
      <c r="AC18" s="302"/>
      <c r="AD18" s="302" t="str">
        <f>IF(AND('Mapa final'!$H$52="Alta",'Mapa final'!$L$52="Mayor"),CONCATENATE("R",'Mapa final'!$A$52),"")</f>
        <v/>
      </c>
      <c r="AE18" s="302"/>
      <c r="AF18" s="302" t="str">
        <f>IF(AND('Mapa final'!$H$58="Alta",'Mapa final'!$L$58="Mayor"),CONCATENATE("R",'Mapa final'!$A$58),"")</f>
        <v/>
      </c>
      <c r="AG18" s="303"/>
      <c r="AH18" s="292" t="str">
        <f>IF(AND('Mapa final'!$H$46="Alta",'Mapa final'!$L$46="Catastrófico"),CONCATENATE("R",'Mapa final'!$A$46),"")</f>
        <v/>
      </c>
      <c r="AI18" s="293"/>
      <c r="AJ18" s="293" t="str">
        <f>IF(AND('Mapa final'!$H$52="Alta",'Mapa final'!$L$52="Catastrófico"),CONCATENATE("R",'Mapa final'!$A$52),"")</f>
        <v/>
      </c>
      <c r="AK18" s="293"/>
      <c r="AL18" s="293" t="str">
        <f>IF(AND('Mapa final'!$H$58="Alta",'Mapa final'!$L$58="Catastrófico"),CONCATENATE("R",'Mapa final'!$A$58),"")</f>
        <v/>
      </c>
      <c r="AM18" s="294"/>
      <c r="AN18" s="97"/>
      <c r="AO18" s="335"/>
      <c r="AP18" s="336"/>
      <c r="AQ18" s="336"/>
      <c r="AR18" s="336"/>
      <c r="AS18" s="336"/>
      <c r="AT18" s="33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321"/>
      <c r="C19" s="321"/>
      <c r="D19" s="322"/>
      <c r="E19" s="314"/>
      <c r="F19" s="315"/>
      <c r="G19" s="315"/>
      <c r="H19" s="315"/>
      <c r="I19" s="315"/>
      <c r="J19" s="283"/>
      <c r="K19" s="284"/>
      <c r="L19" s="284"/>
      <c r="M19" s="284"/>
      <c r="N19" s="284"/>
      <c r="O19" s="285"/>
      <c r="P19" s="283"/>
      <c r="Q19" s="284"/>
      <c r="R19" s="284"/>
      <c r="S19" s="284"/>
      <c r="T19" s="284"/>
      <c r="U19" s="285"/>
      <c r="V19" s="301"/>
      <c r="W19" s="302"/>
      <c r="X19" s="302"/>
      <c r="Y19" s="302"/>
      <c r="Z19" s="302"/>
      <c r="AA19" s="303"/>
      <c r="AB19" s="301"/>
      <c r="AC19" s="302"/>
      <c r="AD19" s="302"/>
      <c r="AE19" s="302"/>
      <c r="AF19" s="302"/>
      <c r="AG19" s="303"/>
      <c r="AH19" s="292"/>
      <c r="AI19" s="293"/>
      <c r="AJ19" s="293"/>
      <c r="AK19" s="293"/>
      <c r="AL19" s="293"/>
      <c r="AM19" s="294"/>
      <c r="AN19" s="97"/>
      <c r="AO19" s="335"/>
      <c r="AP19" s="336"/>
      <c r="AQ19" s="336"/>
      <c r="AR19" s="336"/>
      <c r="AS19" s="336"/>
      <c r="AT19" s="33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321"/>
      <c r="C20" s="321"/>
      <c r="D20" s="322"/>
      <c r="E20" s="314"/>
      <c r="F20" s="315"/>
      <c r="G20" s="315"/>
      <c r="H20" s="315"/>
      <c r="I20" s="315"/>
      <c r="J20" s="283" t="str">
        <f>IF(AND('Mapa final'!$H$64="Alta",'Mapa final'!$L$64="Leve"),CONCATENATE("R",'Mapa final'!$A$64),"")</f>
        <v/>
      </c>
      <c r="K20" s="284"/>
      <c r="L20" s="284" t="str">
        <f>IF(AND('Mapa final'!$H$70="Alta",'Mapa final'!$L$70="Leve"),CONCATENATE("R",'Mapa final'!$A$70),"")</f>
        <v/>
      </c>
      <c r="M20" s="284"/>
      <c r="N20" s="284" t="str">
        <f>IF(AND('Mapa final'!$H$76="Alta",'Mapa final'!$L$76="Leve"),CONCATENATE("R",'Mapa final'!$A$76),"")</f>
        <v/>
      </c>
      <c r="O20" s="285"/>
      <c r="P20" s="283" t="str">
        <f>IF(AND('Mapa final'!$H$64="Alta",'Mapa final'!$L$64="Menor"),CONCATENATE("R",'Mapa final'!$A$64),"")</f>
        <v/>
      </c>
      <c r="Q20" s="284"/>
      <c r="R20" s="284" t="str">
        <f>IF(AND('Mapa final'!$H$70="Alta",'Mapa final'!$L$70="Menor"),CONCATENATE("R",'Mapa final'!$A$70),"")</f>
        <v/>
      </c>
      <c r="S20" s="284"/>
      <c r="T20" s="284" t="str">
        <f>IF(AND('Mapa final'!$H$76="Alta",'Mapa final'!$L$76="Menor"),CONCATENATE("R",'Mapa final'!$A$76),"")</f>
        <v/>
      </c>
      <c r="U20" s="285"/>
      <c r="V20" s="301" t="str">
        <f>IF(AND('Mapa final'!$H$64="Alta",'Mapa final'!$L$64="Moderado"),CONCATENATE("R",'Mapa final'!$A$64),"")</f>
        <v/>
      </c>
      <c r="W20" s="302"/>
      <c r="X20" s="302" t="str">
        <f>IF(AND('Mapa final'!$H$70="Alta",'Mapa final'!$L$70="Moderado"),CONCATENATE("R",'Mapa final'!$A$70),"")</f>
        <v/>
      </c>
      <c r="Y20" s="302"/>
      <c r="Z20" s="302" t="str">
        <f>IF(AND('Mapa final'!$H$76="Alta",'Mapa final'!$L$76="Moderado"),CONCATENATE("R",'Mapa final'!$A$76),"")</f>
        <v/>
      </c>
      <c r="AA20" s="303"/>
      <c r="AB20" s="301" t="str">
        <f>IF(AND('Mapa final'!$H$64="Alta",'Mapa final'!$L$64="Mayor"),CONCATENATE("R",'Mapa final'!$A$64),"")</f>
        <v/>
      </c>
      <c r="AC20" s="302"/>
      <c r="AD20" s="302" t="str">
        <f>IF(AND('Mapa final'!$H$70="Alta",'Mapa final'!$L$70="Mayor"),CONCATENATE("R",'Mapa final'!$A$70),"")</f>
        <v/>
      </c>
      <c r="AE20" s="302"/>
      <c r="AF20" s="302" t="str">
        <f>IF(AND('Mapa final'!$H$76="Alta",'Mapa final'!$L$76="Mayor"),CONCATENATE("R",'Mapa final'!$A$76),"")</f>
        <v/>
      </c>
      <c r="AG20" s="303"/>
      <c r="AH20" s="292" t="str">
        <f>IF(AND('Mapa final'!$H$64="Alta",'Mapa final'!$L$64="Catastrófico"),CONCATENATE("R",'Mapa final'!$A$64),"")</f>
        <v/>
      </c>
      <c r="AI20" s="293"/>
      <c r="AJ20" s="293" t="str">
        <f>IF(AND('Mapa final'!$H$70="Alta",'Mapa final'!$L$70="Catastrófico"),CONCATENATE("R",'Mapa final'!$A$70),"")</f>
        <v/>
      </c>
      <c r="AK20" s="293"/>
      <c r="AL20" s="293" t="str">
        <f>IF(AND('Mapa final'!$H$76="Alta",'Mapa final'!$L$76="Catastrófico"),CONCATENATE("R",'Mapa final'!$A$76),"")</f>
        <v/>
      </c>
      <c r="AM20" s="294"/>
      <c r="AN20" s="97"/>
      <c r="AO20" s="335"/>
      <c r="AP20" s="336"/>
      <c r="AQ20" s="336"/>
      <c r="AR20" s="336"/>
      <c r="AS20" s="336"/>
      <c r="AT20" s="33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321"/>
      <c r="C21" s="321"/>
      <c r="D21" s="322"/>
      <c r="E21" s="317"/>
      <c r="F21" s="318"/>
      <c r="G21" s="318"/>
      <c r="H21" s="318"/>
      <c r="I21" s="318"/>
      <c r="J21" s="286"/>
      <c r="K21" s="287"/>
      <c r="L21" s="287"/>
      <c r="M21" s="287"/>
      <c r="N21" s="287"/>
      <c r="O21" s="288"/>
      <c r="P21" s="286"/>
      <c r="Q21" s="287"/>
      <c r="R21" s="287"/>
      <c r="S21" s="287"/>
      <c r="T21" s="287"/>
      <c r="U21" s="288"/>
      <c r="V21" s="304"/>
      <c r="W21" s="305"/>
      <c r="X21" s="305"/>
      <c r="Y21" s="305"/>
      <c r="Z21" s="305"/>
      <c r="AA21" s="306"/>
      <c r="AB21" s="304"/>
      <c r="AC21" s="305"/>
      <c r="AD21" s="305"/>
      <c r="AE21" s="305"/>
      <c r="AF21" s="305"/>
      <c r="AG21" s="306"/>
      <c r="AH21" s="295"/>
      <c r="AI21" s="296"/>
      <c r="AJ21" s="296"/>
      <c r="AK21" s="296"/>
      <c r="AL21" s="296"/>
      <c r="AM21" s="297"/>
      <c r="AN21" s="97"/>
      <c r="AO21" s="338"/>
      <c r="AP21" s="339"/>
      <c r="AQ21" s="339"/>
      <c r="AR21" s="339"/>
      <c r="AS21" s="339"/>
      <c r="AT21" s="340"/>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321"/>
      <c r="C22" s="321"/>
      <c r="D22" s="322"/>
      <c r="E22" s="311" t="s">
        <v>117</v>
      </c>
      <c r="F22" s="312"/>
      <c r="G22" s="312"/>
      <c r="H22" s="312"/>
      <c r="I22" s="313"/>
      <c r="J22" s="289" t="str">
        <f>IF(AND('Mapa final'!$H$10="Media",'Mapa final'!$L$10="Leve"),CONCATENATE("R",'Mapa final'!$A$10),"")</f>
        <v/>
      </c>
      <c r="K22" s="290"/>
      <c r="L22" s="290" t="str">
        <f>IF(AND('Mapa final'!$H$16="Media",'Mapa final'!$L$16="Leve"),CONCATENATE("R",'Mapa final'!$A$16),"")</f>
        <v/>
      </c>
      <c r="M22" s="290"/>
      <c r="N22" s="290" t="str">
        <f>IF(AND('Mapa final'!$H$22="Media",'Mapa final'!$L$22="Leve"),CONCATENATE("R",'Mapa final'!$A$22),"")</f>
        <v/>
      </c>
      <c r="O22" s="291"/>
      <c r="P22" s="289" t="str">
        <f>IF(AND('Mapa final'!$H$10="Media",'Mapa final'!$L$10="Menor"),CONCATENATE("R",'Mapa final'!$A$10),"")</f>
        <v/>
      </c>
      <c r="Q22" s="290"/>
      <c r="R22" s="290" t="str">
        <f>IF(AND('Mapa final'!$H$16="Media",'Mapa final'!$L$16="Menor"),CONCATENATE("R",'Mapa final'!$A$16),"")</f>
        <v/>
      </c>
      <c r="S22" s="290"/>
      <c r="T22" s="290" t="str">
        <f>IF(AND('Mapa final'!$H$22="Media",'Mapa final'!$L$22="Menor"),CONCATENATE("R",'Mapa final'!$A$22),"")</f>
        <v/>
      </c>
      <c r="U22" s="291"/>
      <c r="V22" s="289" t="str">
        <f>IF(AND('Mapa final'!$H$10="Media",'Mapa final'!$L$10="Moderado"),CONCATENATE("R",'Mapa final'!$A$10),"")</f>
        <v/>
      </c>
      <c r="W22" s="290"/>
      <c r="X22" s="290" t="str">
        <f>IF(AND('Mapa final'!$H$16="Media",'Mapa final'!$L$16="Moderado"),CONCATENATE("R",'Mapa final'!$A$16),"")</f>
        <v/>
      </c>
      <c r="Y22" s="290"/>
      <c r="Z22" s="290" t="str">
        <f>IF(AND('Mapa final'!$H$22="Media",'Mapa final'!$L$22="Moderado"),CONCATENATE("R",'Mapa final'!$A$22),"")</f>
        <v/>
      </c>
      <c r="AA22" s="291"/>
      <c r="AB22" s="307" t="str">
        <f>IF(AND('Mapa final'!$H$10="Media",'Mapa final'!$L$10="Mayor"),CONCATENATE("R",'Mapa final'!$A$10),"")</f>
        <v/>
      </c>
      <c r="AC22" s="308"/>
      <c r="AD22" s="308" t="str">
        <f>IF(AND('Mapa final'!$H$16="Media",'Mapa final'!$L$16="Mayor"),CONCATENATE("R",'Mapa final'!$A$16),"")</f>
        <v>R2</v>
      </c>
      <c r="AE22" s="308"/>
      <c r="AF22" s="308" t="str">
        <f>IF(AND('Mapa final'!$H$22="Media",'Mapa final'!$L$22="Mayor"),CONCATENATE("R",'Mapa final'!$A$22),"")</f>
        <v/>
      </c>
      <c r="AG22" s="309"/>
      <c r="AH22" s="298" t="str">
        <f>IF(AND('Mapa final'!$H$10="Media",'Mapa final'!$L$10="Catastrófico"),CONCATENATE("R",'Mapa final'!$A$10),"")</f>
        <v/>
      </c>
      <c r="AI22" s="299"/>
      <c r="AJ22" s="299" t="str">
        <f>IF(AND('Mapa final'!$H$16="Media",'Mapa final'!$L$16="Catastrófico"),CONCATENATE("R",'Mapa final'!$A$16),"")</f>
        <v/>
      </c>
      <c r="AK22" s="299"/>
      <c r="AL22" s="299" t="str">
        <f>IF(AND('Mapa final'!$H$22="Media",'Mapa final'!$L$22="Catastrófico"),CONCATENATE("R",'Mapa final'!$A$22),"")</f>
        <v/>
      </c>
      <c r="AM22" s="300"/>
      <c r="AN22" s="97"/>
      <c r="AO22" s="341" t="s">
        <v>81</v>
      </c>
      <c r="AP22" s="342"/>
      <c r="AQ22" s="342"/>
      <c r="AR22" s="342"/>
      <c r="AS22" s="342"/>
      <c r="AT22" s="343"/>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321"/>
      <c r="C23" s="321"/>
      <c r="D23" s="322"/>
      <c r="E23" s="314"/>
      <c r="F23" s="315"/>
      <c r="G23" s="315"/>
      <c r="H23" s="315"/>
      <c r="I23" s="316"/>
      <c r="J23" s="283"/>
      <c r="K23" s="284"/>
      <c r="L23" s="284"/>
      <c r="M23" s="284"/>
      <c r="N23" s="284"/>
      <c r="O23" s="285"/>
      <c r="P23" s="283"/>
      <c r="Q23" s="284"/>
      <c r="R23" s="284"/>
      <c r="S23" s="284"/>
      <c r="T23" s="284"/>
      <c r="U23" s="285"/>
      <c r="V23" s="283"/>
      <c r="W23" s="284"/>
      <c r="X23" s="284"/>
      <c r="Y23" s="284"/>
      <c r="Z23" s="284"/>
      <c r="AA23" s="285"/>
      <c r="AB23" s="301"/>
      <c r="AC23" s="302"/>
      <c r="AD23" s="302"/>
      <c r="AE23" s="302"/>
      <c r="AF23" s="302"/>
      <c r="AG23" s="303"/>
      <c r="AH23" s="292"/>
      <c r="AI23" s="293"/>
      <c r="AJ23" s="293"/>
      <c r="AK23" s="293"/>
      <c r="AL23" s="293"/>
      <c r="AM23" s="294"/>
      <c r="AN23" s="97"/>
      <c r="AO23" s="344"/>
      <c r="AP23" s="345"/>
      <c r="AQ23" s="345"/>
      <c r="AR23" s="345"/>
      <c r="AS23" s="345"/>
      <c r="AT23" s="346"/>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321"/>
      <c r="C24" s="321"/>
      <c r="D24" s="322"/>
      <c r="E24" s="314"/>
      <c r="F24" s="315"/>
      <c r="G24" s="315"/>
      <c r="H24" s="315"/>
      <c r="I24" s="316"/>
      <c r="J24" s="283" t="str">
        <f>IF(AND('Mapa final'!$H$28="Media",'Mapa final'!$L$28="Leve"),CONCATENATE("R",'Mapa final'!$A$28),"")</f>
        <v/>
      </c>
      <c r="K24" s="284"/>
      <c r="L24" s="284" t="str">
        <f>IF(AND('Mapa final'!$H$34="Media",'Mapa final'!$L$34="Leve"),CONCATENATE("R",'Mapa final'!$A$34),"")</f>
        <v/>
      </c>
      <c r="M24" s="284"/>
      <c r="N24" s="284" t="str">
        <f>IF(AND('Mapa final'!$H$40="Media",'Mapa final'!$L$40="Leve"),CONCATENATE("R",'Mapa final'!$A$40),"")</f>
        <v/>
      </c>
      <c r="O24" s="285"/>
      <c r="P24" s="283" t="str">
        <f>IF(AND('Mapa final'!$H$28="Media",'Mapa final'!$L$28="Menor"),CONCATENATE("R",'Mapa final'!$A$28),"")</f>
        <v/>
      </c>
      <c r="Q24" s="284"/>
      <c r="R24" s="284" t="str">
        <f>IF(AND('Mapa final'!$H$34="Media",'Mapa final'!$L$34="Menor"),CONCATENATE("R",'Mapa final'!$A$34),"")</f>
        <v/>
      </c>
      <c r="S24" s="284"/>
      <c r="T24" s="284" t="str">
        <f>IF(AND('Mapa final'!$H$40="Media",'Mapa final'!$L$40="Menor"),CONCATENATE("R",'Mapa final'!$A$40),"")</f>
        <v/>
      </c>
      <c r="U24" s="285"/>
      <c r="V24" s="283" t="str">
        <f>IF(AND('Mapa final'!$H$28="Media",'Mapa final'!$L$28="Moderado"),CONCATENATE("R",'Mapa final'!$A$28),"")</f>
        <v/>
      </c>
      <c r="W24" s="284"/>
      <c r="X24" s="284" t="str">
        <f>IF(AND('Mapa final'!$H$34="Media",'Mapa final'!$L$34="Moderado"),CONCATENATE("R",'Mapa final'!$A$34),"")</f>
        <v/>
      </c>
      <c r="Y24" s="284"/>
      <c r="Z24" s="284" t="str">
        <f>IF(AND('Mapa final'!$H$40="Media",'Mapa final'!$L$40="Moderado"),CONCATENATE("R",'Mapa final'!$A$40),"")</f>
        <v/>
      </c>
      <c r="AA24" s="285"/>
      <c r="AB24" s="301" t="str">
        <f>IF(AND('Mapa final'!$H$28="Media",'Mapa final'!$L$28="Mayor"),CONCATENATE("R",'Mapa final'!$A$28),"")</f>
        <v/>
      </c>
      <c r="AC24" s="302"/>
      <c r="AD24" s="302" t="str">
        <f>IF(AND('Mapa final'!$H$34="Media",'Mapa final'!$L$34="Mayor"),CONCATENATE("R",'Mapa final'!$A$34),"")</f>
        <v/>
      </c>
      <c r="AE24" s="302"/>
      <c r="AF24" s="302" t="str">
        <f>IF(AND('Mapa final'!$H$40="Media",'Mapa final'!$L$40="Mayor"),CONCATENATE("R",'Mapa final'!$A$40),"")</f>
        <v/>
      </c>
      <c r="AG24" s="303"/>
      <c r="AH24" s="292" t="str">
        <f>IF(AND('Mapa final'!$H$28="Media",'Mapa final'!$L$28="Catastrófico"),CONCATENATE("R",'Mapa final'!$A$28),"")</f>
        <v/>
      </c>
      <c r="AI24" s="293"/>
      <c r="AJ24" s="293" t="str">
        <f>IF(AND('Mapa final'!$H$34="Media",'Mapa final'!$L$34="Catastrófico"),CONCATENATE("R",'Mapa final'!$A$34),"")</f>
        <v/>
      </c>
      <c r="AK24" s="293"/>
      <c r="AL24" s="293" t="str">
        <f>IF(AND('Mapa final'!$H$40="Media",'Mapa final'!$L$40="Catastrófico"),CONCATENATE("R",'Mapa final'!$A$40),"")</f>
        <v/>
      </c>
      <c r="AM24" s="294"/>
      <c r="AN24" s="97"/>
      <c r="AO24" s="344"/>
      <c r="AP24" s="345"/>
      <c r="AQ24" s="345"/>
      <c r="AR24" s="345"/>
      <c r="AS24" s="345"/>
      <c r="AT24" s="346"/>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321"/>
      <c r="C25" s="321"/>
      <c r="D25" s="322"/>
      <c r="E25" s="314"/>
      <c r="F25" s="315"/>
      <c r="G25" s="315"/>
      <c r="H25" s="315"/>
      <c r="I25" s="316"/>
      <c r="J25" s="283"/>
      <c r="K25" s="284"/>
      <c r="L25" s="284"/>
      <c r="M25" s="284"/>
      <c r="N25" s="284"/>
      <c r="O25" s="285"/>
      <c r="P25" s="283"/>
      <c r="Q25" s="284"/>
      <c r="R25" s="284"/>
      <c r="S25" s="284"/>
      <c r="T25" s="284"/>
      <c r="U25" s="285"/>
      <c r="V25" s="283"/>
      <c r="W25" s="284"/>
      <c r="X25" s="284"/>
      <c r="Y25" s="284"/>
      <c r="Z25" s="284"/>
      <c r="AA25" s="285"/>
      <c r="AB25" s="301"/>
      <c r="AC25" s="302"/>
      <c r="AD25" s="302"/>
      <c r="AE25" s="302"/>
      <c r="AF25" s="302"/>
      <c r="AG25" s="303"/>
      <c r="AH25" s="292"/>
      <c r="AI25" s="293"/>
      <c r="AJ25" s="293"/>
      <c r="AK25" s="293"/>
      <c r="AL25" s="293"/>
      <c r="AM25" s="294"/>
      <c r="AN25" s="97"/>
      <c r="AO25" s="344"/>
      <c r="AP25" s="345"/>
      <c r="AQ25" s="345"/>
      <c r="AR25" s="345"/>
      <c r="AS25" s="345"/>
      <c r="AT25" s="346"/>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321"/>
      <c r="C26" s="321"/>
      <c r="D26" s="322"/>
      <c r="E26" s="314"/>
      <c r="F26" s="315"/>
      <c r="G26" s="315"/>
      <c r="H26" s="315"/>
      <c r="I26" s="316"/>
      <c r="J26" s="283" t="str">
        <f>IF(AND('Mapa final'!$H$46="Media",'Mapa final'!$L$46="Leve"),CONCATENATE("R",'Mapa final'!$A$46),"")</f>
        <v/>
      </c>
      <c r="K26" s="284"/>
      <c r="L26" s="284" t="str">
        <f>IF(AND('Mapa final'!$H$52="Media",'Mapa final'!$L$52="Leve"),CONCATENATE("R",'Mapa final'!$A$52),"")</f>
        <v/>
      </c>
      <c r="M26" s="284"/>
      <c r="N26" s="284" t="str">
        <f>IF(AND('Mapa final'!$H$58="Media",'Mapa final'!$L$58="Leve"),CONCATENATE("R",'Mapa final'!$A$58),"")</f>
        <v/>
      </c>
      <c r="O26" s="285"/>
      <c r="P26" s="283" t="str">
        <f>IF(AND('Mapa final'!$H$46="Media",'Mapa final'!$L$46="Menor"),CONCATENATE("R",'Mapa final'!$A$46),"")</f>
        <v/>
      </c>
      <c r="Q26" s="284"/>
      <c r="R26" s="284" t="str">
        <f>IF(AND('Mapa final'!$H$52="Media",'Mapa final'!$L$52="Menor"),CONCATENATE("R",'Mapa final'!$A$52),"")</f>
        <v/>
      </c>
      <c r="S26" s="284"/>
      <c r="T26" s="284" t="str">
        <f>IF(AND('Mapa final'!$H$58="Media",'Mapa final'!$L$58="Menor"),CONCATENATE("R",'Mapa final'!$A$58),"")</f>
        <v/>
      </c>
      <c r="U26" s="285"/>
      <c r="V26" s="283" t="str">
        <f>IF(AND('Mapa final'!$H$46="Media",'Mapa final'!$L$46="Moderado"),CONCATENATE("R",'Mapa final'!$A$46),"")</f>
        <v/>
      </c>
      <c r="W26" s="284"/>
      <c r="X26" s="284" t="str">
        <f>IF(AND('Mapa final'!$H$52="Media",'Mapa final'!$L$52="Moderado"),CONCATENATE("R",'Mapa final'!$A$52),"")</f>
        <v/>
      </c>
      <c r="Y26" s="284"/>
      <c r="Z26" s="284" t="str">
        <f>IF(AND('Mapa final'!$H$58="Media",'Mapa final'!$L$58="Moderado"),CONCATENATE("R",'Mapa final'!$A$58),"")</f>
        <v/>
      </c>
      <c r="AA26" s="285"/>
      <c r="AB26" s="301" t="str">
        <f>IF(AND('Mapa final'!$H$46="Media",'Mapa final'!$L$46="Mayor"),CONCATENATE("R",'Mapa final'!$A$46),"")</f>
        <v/>
      </c>
      <c r="AC26" s="302"/>
      <c r="AD26" s="302" t="str">
        <f>IF(AND('Mapa final'!$H$52="Media",'Mapa final'!$L$52="Mayor"),CONCATENATE("R",'Mapa final'!$A$52),"")</f>
        <v/>
      </c>
      <c r="AE26" s="302"/>
      <c r="AF26" s="302" t="str">
        <f>IF(AND('Mapa final'!$H$58="Media",'Mapa final'!$L$58="Mayor"),CONCATENATE("R",'Mapa final'!$A$58),"")</f>
        <v/>
      </c>
      <c r="AG26" s="303"/>
      <c r="AH26" s="292" t="str">
        <f>IF(AND('Mapa final'!$H$46="Media",'Mapa final'!$L$46="Catastrófico"),CONCATENATE("R",'Mapa final'!$A$46),"")</f>
        <v/>
      </c>
      <c r="AI26" s="293"/>
      <c r="AJ26" s="293" t="str">
        <f>IF(AND('Mapa final'!$H$52="Media",'Mapa final'!$L$52="Catastrófico"),CONCATENATE("R",'Mapa final'!$A$52),"")</f>
        <v/>
      </c>
      <c r="AK26" s="293"/>
      <c r="AL26" s="293" t="str">
        <f>IF(AND('Mapa final'!$H$58="Media",'Mapa final'!$L$58="Catastrófico"),CONCATENATE("R",'Mapa final'!$A$58),"")</f>
        <v/>
      </c>
      <c r="AM26" s="294"/>
      <c r="AN26" s="97"/>
      <c r="AO26" s="344"/>
      <c r="AP26" s="345"/>
      <c r="AQ26" s="345"/>
      <c r="AR26" s="345"/>
      <c r="AS26" s="345"/>
      <c r="AT26" s="346"/>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321"/>
      <c r="C27" s="321"/>
      <c r="D27" s="322"/>
      <c r="E27" s="314"/>
      <c r="F27" s="315"/>
      <c r="G27" s="315"/>
      <c r="H27" s="315"/>
      <c r="I27" s="316"/>
      <c r="J27" s="283"/>
      <c r="K27" s="284"/>
      <c r="L27" s="284"/>
      <c r="M27" s="284"/>
      <c r="N27" s="284"/>
      <c r="O27" s="285"/>
      <c r="P27" s="283"/>
      <c r="Q27" s="284"/>
      <c r="R27" s="284"/>
      <c r="S27" s="284"/>
      <c r="T27" s="284"/>
      <c r="U27" s="285"/>
      <c r="V27" s="283"/>
      <c r="W27" s="284"/>
      <c r="X27" s="284"/>
      <c r="Y27" s="284"/>
      <c r="Z27" s="284"/>
      <c r="AA27" s="285"/>
      <c r="AB27" s="301"/>
      <c r="AC27" s="302"/>
      <c r="AD27" s="302"/>
      <c r="AE27" s="302"/>
      <c r="AF27" s="302"/>
      <c r="AG27" s="303"/>
      <c r="AH27" s="292"/>
      <c r="AI27" s="293"/>
      <c r="AJ27" s="293"/>
      <c r="AK27" s="293"/>
      <c r="AL27" s="293"/>
      <c r="AM27" s="294"/>
      <c r="AN27" s="97"/>
      <c r="AO27" s="344"/>
      <c r="AP27" s="345"/>
      <c r="AQ27" s="345"/>
      <c r="AR27" s="345"/>
      <c r="AS27" s="345"/>
      <c r="AT27" s="346"/>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321"/>
      <c r="C28" s="321"/>
      <c r="D28" s="322"/>
      <c r="E28" s="314"/>
      <c r="F28" s="315"/>
      <c r="G28" s="315"/>
      <c r="H28" s="315"/>
      <c r="I28" s="316"/>
      <c r="J28" s="283" t="str">
        <f>IF(AND('Mapa final'!$H$64="Media",'Mapa final'!$L$64="Leve"),CONCATENATE("R",'Mapa final'!$A$64),"")</f>
        <v/>
      </c>
      <c r="K28" s="284"/>
      <c r="L28" s="284" t="str">
        <f>IF(AND('Mapa final'!$H$70="Media",'Mapa final'!$L$70="Leve"),CONCATENATE("R",'Mapa final'!$A$70),"")</f>
        <v/>
      </c>
      <c r="M28" s="284"/>
      <c r="N28" s="284" t="str">
        <f>IF(AND('Mapa final'!$H$76="Media",'Mapa final'!$L$76="Leve"),CONCATENATE("R",'Mapa final'!$A$76),"")</f>
        <v/>
      </c>
      <c r="O28" s="285"/>
      <c r="P28" s="283" t="str">
        <f>IF(AND('Mapa final'!$H$64="Media",'Mapa final'!$L$64="Menor"),CONCATENATE("R",'Mapa final'!$A$64),"")</f>
        <v/>
      </c>
      <c r="Q28" s="284"/>
      <c r="R28" s="284" t="str">
        <f>IF(AND('Mapa final'!$H$70="Media",'Mapa final'!$L$70="Menor"),CONCATENATE("R",'Mapa final'!$A$70),"")</f>
        <v/>
      </c>
      <c r="S28" s="284"/>
      <c r="T28" s="284" t="str">
        <f>IF(AND('Mapa final'!$H$76="Media",'Mapa final'!$L$76="Menor"),CONCATENATE("R",'Mapa final'!$A$76),"")</f>
        <v/>
      </c>
      <c r="U28" s="285"/>
      <c r="V28" s="283" t="str">
        <f>IF(AND('Mapa final'!$H$64="Media",'Mapa final'!$L$64="Moderado"),CONCATENATE("R",'Mapa final'!$A$64),"")</f>
        <v/>
      </c>
      <c r="W28" s="284"/>
      <c r="X28" s="284" t="str">
        <f>IF(AND('Mapa final'!$H$70="Media",'Mapa final'!$L$70="Moderado"),CONCATENATE("R",'Mapa final'!$A$70),"")</f>
        <v/>
      </c>
      <c r="Y28" s="284"/>
      <c r="Z28" s="284" t="str">
        <f>IF(AND('Mapa final'!$H$76="Media",'Mapa final'!$L$76="Moderado"),CONCATENATE("R",'Mapa final'!$A$76),"")</f>
        <v/>
      </c>
      <c r="AA28" s="285"/>
      <c r="AB28" s="301" t="str">
        <f>IF(AND('Mapa final'!$H$64="Media",'Mapa final'!$L$64="Mayor"),CONCATENATE("R",'Mapa final'!$A$64),"")</f>
        <v/>
      </c>
      <c r="AC28" s="302"/>
      <c r="AD28" s="302" t="str">
        <f>IF(AND('Mapa final'!$H$70="Media",'Mapa final'!$L$70="Mayor"),CONCATENATE("R",'Mapa final'!$A$70),"")</f>
        <v/>
      </c>
      <c r="AE28" s="302"/>
      <c r="AF28" s="302" t="str">
        <f>IF(AND('Mapa final'!$H$76="Media",'Mapa final'!$L$76="Mayor"),CONCATENATE("R",'Mapa final'!$A$76),"")</f>
        <v/>
      </c>
      <c r="AG28" s="303"/>
      <c r="AH28" s="292" t="str">
        <f>IF(AND('Mapa final'!$H$64="Media",'Mapa final'!$L$64="Catastrófico"),CONCATENATE("R",'Mapa final'!$A$64),"")</f>
        <v/>
      </c>
      <c r="AI28" s="293"/>
      <c r="AJ28" s="293" t="str">
        <f>IF(AND('Mapa final'!$H$70="Media",'Mapa final'!$L$70="Catastrófico"),CONCATENATE("R",'Mapa final'!$A$70),"")</f>
        <v/>
      </c>
      <c r="AK28" s="293"/>
      <c r="AL28" s="293" t="str">
        <f>IF(AND('Mapa final'!$H$76="Media",'Mapa final'!$L$76="Catastrófico"),CONCATENATE("R",'Mapa final'!$A$76),"")</f>
        <v/>
      </c>
      <c r="AM28" s="294"/>
      <c r="AN28" s="97"/>
      <c r="AO28" s="344"/>
      <c r="AP28" s="345"/>
      <c r="AQ28" s="345"/>
      <c r="AR28" s="345"/>
      <c r="AS28" s="345"/>
      <c r="AT28" s="346"/>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321"/>
      <c r="C29" s="321"/>
      <c r="D29" s="322"/>
      <c r="E29" s="317"/>
      <c r="F29" s="318"/>
      <c r="G29" s="318"/>
      <c r="H29" s="318"/>
      <c r="I29" s="319"/>
      <c r="J29" s="283"/>
      <c r="K29" s="284"/>
      <c r="L29" s="284"/>
      <c r="M29" s="284"/>
      <c r="N29" s="284"/>
      <c r="O29" s="285"/>
      <c r="P29" s="286"/>
      <c r="Q29" s="287"/>
      <c r="R29" s="287"/>
      <c r="S29" s="287"/>
      <c r="T29" s="287"/>
      <c r="U29" s="288"/>
      <c r="V29" s="286"/>
      <c r="W29" s="287"/>
      <c r="X29" s="287"/>
      <c r="Y29" s="287"/>
      <c r="Z29" s="287"/>
      <c r="AA29" s="288"/>
      <c r="AB29" s="304"/>
      <c r="AC29" s="305"/>
      <c r="AD29" s="305"/>
      <c r="AE29" s="305"/>
      <c r="AF29" s="305"/>
      <c r="AG29" s="306"/>
      <c r="AH29" s="295"/>
      <c r="AI29" s="296"/>
      <c r="AJ29" s="296"/>
      <c r="AK29" s="296"/>
      <c r="AL29" s="296"/>
      <c r="AM29" s="297"/>
      <c r="AN29" s="97"/>
      <c r="AO29" s="347"/>
      <c r="AP29" s="348"/>
      <c r="AQ29" s="348"/>
      <c r="AR29" s="348"/>
      <c r="AS29" s="348"/>
      <c r="AT29" s="349"/>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321"/>
      <c r="C30" s="321"/>
      <c r="D30" s="322"/>
      <c r="E30" s="311" t="s">
        <v>114</v>
      </c>
      <c r="F30" s="312"/>
      <c r="G30" s="312"/>
      <c r="H30" s="312"/>
      <c r="I30" s="312"/>
      <c r="J30" s="280" t="str">
        <f>IF(AND('Mapa final'!$H$10="Baja",'Mapa final'!$L$10="Leve"),CONCATENATE("R",'Mapa final'!$A$10),"")</f>
        <v/>
      </c>
      <c r="K30" s="281"/>
      <c r="L30" s="281" t="str">
        <f>IF(AND('Mapa final'!$H$16="Baja",'Mapa final'!$L$16="Leve"),CONCATENATE("R",'Mapa final'!$A$16),"")</f>
        <v/>
      </c>
      <c r="M30" s="281"/>
      <c r="N30" s="281" t="str">
        <f>IF(AND('Mapa final'!$H$22="Baja",'Mapa final'!$L$22="Leve"),CONCATENATE("R",'Mapa final'!$A$22),"")</f>
        <v/>
      </c>
      <c r="O30" s="282"/>
      <c r="P30" s="290" t="str">
        <f>IF(AND('Mapa final'!$H$10="Baja",'Mapa final'!$L$10="Menor"),CONCATENATE("R",'Mapa final'!$A$10),"")</f>
        <v/>
      </c>
      <c r="Q30" s="290"/>
      <c r="R30" s="290" t="str">
        <f>IF(AND('Mapa final'!$H$16="Baja",'Mapa final'!$L$16="Menor"),CONCATENATE("R",'Mapa final'!$A$16),"")</f>
        <v/>
      </c>
      <c r="S30" s="290"/>
      <c r="T30" s="290" t="str">
        <f>IF(AND('Mapa final'!$H$22="Baja",'Mapa final'!$L$22="Menor"),CONCATENATE("R",'Mapa final'!$A$22),"")</f>
        <v/>
      </c>
      <c r="U30" s="291"/>
      <c r="V30" s="289" t="str">
        <f>IF(AND('Mapa final'!$H$10="Baja",'Mapa final'!$L$10="Moderado"),CONCATENATE("R",'Mapa final'!$A$10),"")</f>
        <v/>
      </c>
      <c r="W30" s="290"/>
      <c r="X30" s="290" t="str">
        <f>IF(AND('Mapa final'!$H$16="Baja",'Mapa final'!$L$16="Moderado"),CONCATENATE("R",'Mapa final'!$A$16),"")</f>
        <v/>
      </c>
      <c r="Y30" s="290"/>
      <c r="Z30" s="290" t="str">
        <f>IF(AND('Mapa final'!$H$22="Baja",'Mapa final'!$L$22="Moderado"),CONCATENATE("R",'Mapa final'!$A$22),"")</f>
        <v/>
      </c>
      <c r="AA30" s="291"/>
      <c r="AB30" s="307" t="str">
        <f>IF(AND('Mapa final'!$H$10="Baja",'Mapa final'!$L$10="Mayor"),CONCATENATE("R",'Mapa final'!$A$10),"")</f>
        <v/>
      </c>
      <c r="AC30" s="308"/>
      <c r="AD30" s="308" t="str">
        <f>IF(AND('Mapa final'!$H$16="Baja",'Mapa final'!$L$16="Mayor"),CONCATENATE("R",'Mapa final'!$A$16),"")</f>
        <v/>
      </c>
      <c r="AE30" s="308"/>
      <c r="AF30" s="308" t="str">
        <f>IF(AND('Mapa final'!$H$22="Baja",'Mapa final'!$L$22="Mayor"),CONCATENATE("R",'Mapa final'!$A$22),"")</f>
        <v/>
      </c>
      <c r="AG30" s="309"/>
      <c r="AH30" s="298" t="str">
        <f>IF(AND('Mapa final'!$H$10="Baja",'Mapa final'!$L$10="Catastrófico"),CONCATENATE("R",'Mapa final'!$A$10),"")</f>
        <v/>
      </c>
      <c r="AI30" s="299"/>
      <c r="AJ30" s="299" t="str">
        <f>IF(AND('Mapa final'!$H$16="Baja",'Mapa final'!$L$16="Catastrófico"),CONCATENATE("R",'Mapa final'!$A$16),"")</f>
        <v/>
      </c>
      <c r="AK30" s="299"/>
      <c r="AL30" s="299" t="str">
        <f>IF(AND('Mapa final'!$H$22="Baja",'Mapa final'!$L$22="Catastrófico"),CONCATENATE("R",'Mapa final'!$A$22),"")</f>
        <v/>
      </c>
      <c r="AM30" s="300"/>
      <c r="AN30" s="97"/>
      <c r="AO30" s="350" t="s">
        <v>82</v>
      </c>
      <c r="AP30" s="351"/>
      <c r="AQ30" s="351"/>
      <c r="AR30" s="351"/>
      <c r="AS30" s="351"/>
      <c r="AT30" s="352"/>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321"/>
      <c r="C31" s="321"/>
      <c r="D31" s="322"/>
      <c r="E31" s="314"/>
      <c r="F31" s="315"/>
      <c r="G31" s="315"/>
      <c r="H31" s="315"/>
      <c r="I31" s="315"/>
      <c r="J31" s="274"/>
      <c r="K31" s="275"/>
      <c r="L31" s="275"/>
      <c r="M31" s="275"/>
      <c r="N31" s="275"/>
      <c r="O31" s="276"/>
      <c r="P31" s="284"/>
      <c r="Q31" s="284"/>
      <c r="R31" s="284"/>
      <c r="S31" s="284"/>
      <c r="T31" s="284"/>
      <c r="U31" s="285"/>
      <c r="V31" s="283"/>
      <c r="W31" s="284"/>
      <c r="X31" s="284"/>
      <c r="Y31" s="284"/>
      <c r="Z31" s="284"/>
      <c r="AA31" s="285"/>
      <c r="AB31" s="301"/>
      <c r="AC31" s="302"/>
      <c r="AD31" s="302"/>
      <c r="AE31" s="302"/>
      <c r="AF31" s="302"/>
      <c r="AG31" s="303"/>
      <c r="AH31" s="292"/>
      <c r="AI31" s="293"/>
      <c r="AJ31" s="293"/>
      <c r="AK31" s="293"/>
      <c r="AL31" s="293"/>
      <c r="AM31" s="294"/>
      <c r="AN31" s="97"/>
      <c r="AO31" s="353"/>
      <c r="AP31" s="354"/>
      <c r="AQ31" s="354"/>
      <c r="AR31" s="354"/>
      <c r="AS31" s="354"/>
      <c r="AT31" s="355"/>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321"/>
      <c r="C32" s="321"/>
      <c r="D32" s="322"/>
      <c r="E32" s="314"/>
      <c r="F32" s="315"/>
      <c r="G32" s="315"/>
      <c r="H32" s="315"/>
      <c r="I32" s="315"/>
      <c r="J32" s="274" t="str">
        <f>IF(AND('Mapa final'!$H$28="Baja",'Mapa final'!$L$28="Leve"),CONCATENATE("R",'Mapa final'!$A$28),"")</f>
        <v/>
      </c>
      <c r="K32" s="275"/>
      <c r="L32" s="275" t="str">
        <f>IF(AND('Mapa final'!$H$34="Baja",'Mapa final'!$L$34="Leve"),CONCATENATE("R",'Mapa final'!$A$34),"")</f>
        <v/>
      </c>
      <c r="M32" s="275"/>
      <c r="N32" s="275" t="str">
        <f>IF(AND('Mapa final'!$H$40="Baja",'Mapa final'!$L$40="Leve"),CONCATENATE("R",'Mapa final'!$A$40),"")</f>
        <v/>
      </c>
      <c r="O32" s="276"/>
      <c r="P32" s="284" t="str">
        <f>IF(AND('Mapa final'!$H$28="Baja",'Mapa final'!$L$28="Menor"),CONCATENATE("R",'Mapa final'!$A$28),"")</f>
        <v/>
      </c>
      <c r="Q32" s="284"/>
      <c r="R32" s="284" t="str">
        <f>IF(AND('Mapa final'!$H$34="Baja",'Mapa final'!$L$34="Menor"),CONCATENATE("R",'Mapa final'!$A$34),"")</f>
        <v/>
      </c>
      <c r="S32" s="284"/>
      <c r="T32" s="284" t="str">
        <f>IF(AND('Mapa final'!$H$40="Baja",'Mapa final'!$L$40="Menor"),CONCATENATE("R",'Mapa final'!$A$40),"")</f>
        <v/>
      </c>
      <c r="U32" s="285"/>
      <c r="V32" s="283" t="str">
        <f>IF(AND('Mapa final'!$H$28="Baja",'Mapa final'!$L$28="Moderado"),CONCATENATE("R",'Mapa final'!$A$28),"")</f>
        <v/>
      </c>
      <c r="W32" s="284"/>
      <c r="X32" s="284" t="str">
        <f>IF(AND('Mapa final'!$H$34="Baja",'Mapa final'!$L$34="Moderado"),CONCATENATE("R",'Mapa final'!$A$34),"")</f>
        <v/>
      </c>
      <c r="Y32" s="284"/>
      <c r="Z32" s="284" t="str">
        <f>IF(AND('Mapa final'!$H$40="Baja",'Mapa final'!$L$40="Moderado"),CONCATENATE("R",'Mapa final'!$A$40),"")</f>
        <v/>
      </c>
      <c r="AA32" s="285"/>
      <c r="AB32" s="301" t="str">
        <f>IF(AND('Mapa final'!$H$28="Baja",'Mapa final'!$L$28="Mayor"),CONCATENATE("R",'Mapa final'!$A$28),"")</f>
        <v/>
      </c>
      <c r="AC32" s="302"/>
      <c r="AD32" s="302" t="str">
        <f>IF(AND('Mapa final'!$H$34="Baja",'Mapa final'!$L$34="Mayor"),CONCATENATE("R",'Mapa final'!$A$34),"")</f>
        <v/>
      </c>
      <c r="AE32" s="302"/>
      <c r="AF32" s="302" t="str">
        <f>IF(AND('Mapa final'!$H$40="Baja",'Mapa final'!$L$40="Mayor"),CONCATENATE("R",'Mapa final'!$A$40),"")</f>
        <v/>
      </c>
      <c r="AG32" s="303"/>
      <c r="AH32" s="292" t="str">
        <f>IF(AND('Mapa final'!$H$28="Baja",'Mapa final'!$L$28="Catastrófico"),CONCATENATE("R",'Mapa final'!$A$28),"")</f>
        <v/>
      </c>
      <c r="AI32" s="293"/>
      <c r="AJ32" s="293" t="str">
        <f>IF(AND('Mapa final'!$H$34="Baja",'Mapa final'!$L$34="Catastrófico"),CONCATENATE("R",'Mapa final'!$A$34),"")</f>
        <v/>
      </c>
      <c r="AK32" s="293"/>
      <c r="AL32" s="293" t="str">
        <f>IF(AND('Mapa final'!$H$40="Baja",'Mapa final'!$L$40="Catastrófico"),CONCATENATE("R",'Mapa final'!$A$40),"")</f>
        <v/>
      </c>
      <c r="AM32" s="294"/>
      <c r="AN32" s="97"/>
      <c r="AO32" s="353"/>
      <c r="AP32" s="354"/>
      <c r="AQ32" s="354"/>
      <c r="AR32" s="354"/>
      <c r="AS32" s="354"/>
      <c r="AT32" s="355"/>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321"/>
      <c r="C33" s="321"/>
      <c r="D33" s="322"/>
      <c r="E33" s="314"/>
      <c r="F33" s="315"/>
      <c r="G33" s="315"/>
      <c r="H33" s="315"/>
      <c r="I33" s="315"/>
      <c r="J33" s="274"/>
      <c r="K33" s="275"/>
      <c r="L33" s="275"/>
      <c r="M33" s="275"/>
      <c r="N33" s="275"/>
      <c r="O33" s="276"/>
      <c r="P33" s="284"/>
      <c r="Q33" s="284"/>
      <c r="R33" s="284"/>
      <c r="S33" s="284"/>
      <c r="T33" s="284"/>
      <c r="U33" s="285"/>
      <c r="V33" s="283"/>
      <c r="W33" s="284"/>
      <c r="X33" s="284"/>
      <c r="Y33" s="284"/>
      <c r="Z33" s="284"/>
      <c r="AA33" s="285"/>
      <c r="AB33" s="301"/>
      <c r="AC33" s="302"/>
      <c r="AD33" s="302"/>
      <c r="AE33" s="302"/>
      <c r="AF33" s="302"/>
      <c r="AG33" s="303"/>
      <c r="AH33" s="292"/>
      <c r="AI33" s="293"/>
      <c r="AJ33" s="293"/>
      <c r="AK33" s="293"/>
      <c r="AL33" s="293"/>
      <c r="AM33" s="294"/>
      <c r="AN33" s="97"/>
      <c r="AO33" s="353"/>
      <c r="AP33" s="354"/>
      <c r="AQ33" s="354"/>
      <c r="AR33" s="354"/>
      <c r="AS33" s="354"/>
      <c r="AT33" s="355"/>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321"/>
      <c r="C34" s="321"/>
      <c r="D34" s="322"/>
      <c r="E34" s="314"/>
      <c r="F34" s="315"/>
      <c r="G34" s="315"/>
      <c r="H34" s="315"/>
      <c r="I34" s="315"/>
      <c r="J34" s="274" t="str">
        <f>IF(AND('Mapa final'!$H$46="Baja",'Mapa final'!$L$46="Leve"),CONCATENATE("R",'Mapa final'!$A$46),"")</f>
        <v/>
      </c>
      <c r="K34" s="275"/>
      <c r="L34" s="275" t="str">
        <f>IF(AND('Mapa final'!$H$52="Baja",'Mapa final'!$L$52="Leve"),CONCATENATE("R",'Mapa final'!$A$52),"")</f>
        <v/>
      </c>
      <c r="M34" s="275"/>
      <c r="N34" s="275" t="str">
        <f>IF(AND('Mapa final'!$H$58="Baja",'Mapa final'!$L$58="Leve"),CONCATENATE("R",'Mapa final'!$A$58),"")</f>
        <v/>
      </c>
      <c r="O34" s="276"/>
      <c r="P34" s="284" t="str">
        <f>IF(AND('Mapa final'!$H$46="Baja",'Mapa final'!$L$46="Menor"),CONCATENATE("R",'Mapa final'!$A$46),"")</f>
        <v/>
      </c>
      <c r="Q34" s="284"/>
      <c r="R34" s="284" t="str">
        <f>IF(AND('Mapa final'!$H$52="Baja",'Mapa final'!$L$52="Menor"),CONCATENATE("R",'Mapa final'!$A$52),"")</f>
        <v/>
      </c>
      <c r="S34" s="284"/>
      <c r="T34" s="284" t="str">
        <f>IF(AND('Mapa final'!$H$58="Baja",'Mapa final'!$L$58="Menor"),CONCATENATE("R",'Mapa final'!$A$58),"")</f>
        <v/>
      </c>
      <c r="U34" s="285"/>
      <c r="V34" s="283" t="str">
        <f>IF(AND('Mapa final'!$H$46="Baja",'Mapa final'!$L$46="Moderado"),CONCATENATE("R",'Mapa final'!$A$46),"")</f>
        <v/>
      </c>
      <c r="W34" s="284"/>
      <c r="X34" s="284" t="str">
        <f>IF(AND('Mapa final'!$H$52="Baja",'Mapa final'!$L$52="Moderado"),CONCATENATE("R",'Mapa final'!$A$52),"")</f>
        <v/>
      </c>
      <c r="Y34" s="284"/>
      <c r="Z34" s="284" t="str">
        <f>IF(AND('Mapa final'!$H$58="Baja",'Mapa final'!$L$58="Moderado"),CONCATENATE("R",'Mapa final'!$A$58),"")</f>
        <v/>
      </c>
      <c r="AA34" s="285"/>
      <c r="AB34" s="301" t="str">
        <f>IF(AND('Mapa final'!$H$46="Baja",'Mapa final'!$L$46="Mayor"),CONCATENATE("R",'Mapa final'!$A$46),"")</f>
        <v/>
      </c>
      <c r="AC34" s="302"/>
      <c r="AD34" s="302" t="str">
        <f>IF(AND('Mapa final'!$H$52="Baja",'Mapa final'!$L$52="Mayor"),CONCATENATE("R",'Mapa final'!$A$52),"")</f>
        <v/>
      </c>
      <c r="AE34" s="302"/>
      <c r="AF34" s="302" t="str">
        <f>IF(AND('Mapa final'!$H$58="Baja",'Mapa final'!$L$58="Mayor"),CONCATENATE("R",'Mapa final'!$A$58),"")</f>
        <v/>
      </c>
      <c r="AG34" s="303"/>
      <c r="AH34" s="292" t="str">
        <f>IF(AND('Mapa final'!$H$46="Baja",'Mapa final'!$L$46="Catastrófico"),CONCATENATE("R",'Mapa final'!$A$46),"")</f>
        <v/>
      </c>
      <c r="AI34" s="293"/>
      <c r="AJ34" s="293" t="str">
        <f>IF(AND('Mapa final'!$H$52="Baja",'Mapa final'!$L$52="Catastrófico"),CONCATENATE("R",'Mapa final'!$A$52),"")</f>
        <v/>
      </c>
      <c r="AK34" s="293"/>
      <c r="AL34" s="293" t="str">
        <f>IF(AND('Mapa final'!$H$58="Baja",'Mapa final'!$L$58="Catastrófico"),CONCATENATE("R",'Mapa final'!$A$58),"")</f>
        <v/>
      </c>
      <c r="AM34" s="294"/>
      <c r="AN34" s="97"/>
      <c r="AO34" s="353"/>
      <c r="AP34" s="354"/>
      <c r="AQ34" s="354"/>
      <c r="AR34" s="354"/>
      <c r="AS34" s="354"/>
      <c r="AT34" s="355"/>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321"/>
      <c r="C35" s="321"/>
      <c r="D35" s="322"/>
      <c r="E35" s="314"/>
      <c r="F35" s="315"/>
      <c r="G35" s="315"/>
      <c r="H35" s="315"/>
      <c r="I35" s="315"/>
      <c r="J35" s="274"/>
      <c r="K35" s="275"/>
      <c r="L35" s="275"/>
      <c r="M35" s="275"/>
      <c r="N35" s="275"/>
      <c r="O35" s="276"/>
      <c r="P35" s="284"/>
      <c r="Q35" s="284"/>
      <c r="R35" s="284"/>
      <c r="S35" s="284"/>
      <c r="T35" s="284"/>
      <c r="U35" s="285"/>
      <c r="V35" s="283"/>
      <c r="W35" s="284"/>
      <c r="X35" s="284"/>
      <c r="Y35" s="284"/>
      <c r="Z35" s="284"/>
      <c r="AA35" s="285"/>
      <c r="AB35" s="301"/>
      <c r="AC35" s="302"/>
      <c r="AD35" s="302"/>
      <c r="AE35" s="302"/>
      <c r="AF35" s="302"/>
      <c r="AG35" s="303"/>
      <c r="AH35" s="292"/>
      <c r="AI35" s="293"/>
      <c r="AJ35" s="293"/>
      <c r="AK35" s="293"/>
      <c r="AL35" s="293"/>
      <c r="AM35" s="294"/>
      <c r="AN35" s="97"/>
      <c r="AO35" s="353"/>
      <c r="AP35" s="354"/>
      <c r="AQ35" s="354"/>
      <c r="AR35" s="354"/>
      <c r="AS35" s="354"/>
      <c r="AT35" s="355"/>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321"/>
      <c r="C36" s="321"/>
      <c r="D36" s="322"/>
      <c r="E36" s="314"/>
      <c r="F36" s="315"/>
      <c r="G36" s="315"/>
      <c r="H36" s="315"/>
      <c r="I36" s="315"/>
      <c r="J36" s="274" t="str">
        <f>IF(AND('Mapa final'!$H$64="Baja",'Mapa final'!$L$64="Leve"),CONCATENATE("R",'Mapa final'!$A$64),"")</f>
        <v/>
      </c>
      <c r="K36" s="275"/>
      <c r="L36" s="275" t="str">
        <f>IF(AND('Mapa final'!$H$70="Baja",'Mapa final'!$L$70="Leve"),CONCATENATE("R",'Mapa final'!$A$70),"")</f>
        <v/>
      </c>
      <c r="M36" s="275"/>
      <c r="N36" s="275" t="str">
        <f>IF(AND('Mapa final'!$H$76="Baja",'Mapa final'!$L$76="Leve"),CONCATENATE("R",'Mapa final'!$A$76),"")</f>
        <v/>
      </c>
      <c r="O36" s="276"/>
      <c r="P36" s="284" t="str">
        <f>IF(AND('Mapa final'!$H$64="Baja",'Mapa final'!$L$64="Menor"),CONCATENATE("R",'Mapa final'!$A$64),"")</f>
        <v/>
      </c>
      <c r="Q36" s="284"/>
      <c r="R36" s="284" t="str">
        <f>IF(AND('Mapa final'!$H$70="Baja",'Mapa final'!$L$70="Menor"),CONCATENATE("R",'Mapa final'!$A$70),"")</f>
        <v/>
      </c>
      <c r="S36" s="284"/>
      <c r="T36" s="284" t="str">
        <f>IF(AND('Mapa final'!$H$76="Baja",'Mapa final'!$L$76="Menor"),CONCATENATE("R",'Mapa final'!$A$76),"")</f>
        <v/>
      </c>
      <c r="U36" s="285"/>
      <c r="V36" s="283" t="str">
        <f>IF(AND('Mapa final'!$H$64="Baja",'Mapa final'!$L$64="Moderado"),CONCATENATE("R",'Mapa final'!$A$64),"")</f>
        <v/>
      </c>
      <c r="W36" s="284"/>
      <c r="X36" s="284" t="str">
        <f>IF(AND('Mapa final'!$H$70="Baja",'Mapa final'!$L$70="Moderado"),CONCATENATE("R",'Mapa final'!$A$70),"")</f>
        <v/>
      </c>
      <c r="Y36" s="284"/>
      <c r="Z36" s="284" t="str">
        <f>IF(AND('Mapa final'!$H$76="Baja",'Mapa final'!$L$76="Moderado"),CONCATENATE("R",'Mapa final'!$A$76),"")</f>
        <v/>
      </c>
      <c r="AA36" s="285"/>
      <c r="AB36" s="301" t="str">
        <f>IF(AND('Mapa final'!$H$64="Baja",'Mapa final'!$L$64="Mayor"),CONCATENATE("R",'Mapa final'!$A$64),"")</f>
        <v/>
      </c>
      <c r="AC36" s="302"/>
      <c r="AD36" s="302" t="str">
        <f>IF(AND('Mapa final'!$H$70="Baja",'Mapa final'!$L$70="Mayor"),CONCATENATE("R",'Mapa final'!$A$70),"")</f>
        <v/>
      </c>
      <c r="AE36" s="302"/>
      <c r="AF36" s="302" t="str">
        <f>IF(AND('Mapa final'!$H$76="Baja",'Mapa final'!$L$76="Mayor"),CONCATENATE("R",'Mapa final'!$A$76),"")</f>
        <v/>
      </c>
      <c r="AG36" s="303"/>
      <c r="AH36" s="292" t="str">
        <f>IF(AND('Mapa final'!$H$64="Baja",'Mapa final'!$L$64="Catastrófico"),CONCATENATE("R",'Mapa final'!$A$64),"")</f>
        <v/>
      </c>
      <c r="AI36" s="293"/>
      <c r="AJ36" s="293" t="str">
        <f>IF(AND('Mapa final'!$H$70="Baja",'Mapa final'!$L$70="Catastrófico"),CONCATENATE("R",'Mapa final'!$A$70),"")</f>
        <v/>
      </c>
      <c r="AK36" s="293"/>
      <c r="AL36" s="293" t="str">
        <f>IF(AND('Mapa final'!$H$76="Baja",'Mapa final'!$L$76="Catastrófico"),CONCATENATE("R",'Mapa final'!$A$76),"")</f>
        <v/>
      </c>
      <c r="AM36" s="294"/>
      <c r="AN36" s="97"/>
      <c r="AO36" s="353"/>
      <c r="AP36" s="354"/>
      <c r="AQ36" s="354"/>
      <c r="AR36" s="354"/>
      <c r="AS36" s="354"/>
      <c r="AT36" s="355"/>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321"/>
      <c r="C37" s="321"/>
      <c r="D37" s="322"/>
      <c r="E37" s="317"/>
      <c r="F37" s="318"/>
      <c r="G37" s="318"/>
      <c r="H37" s="318"/>
      <c r="I37" s="318"/>
      <c r="J37" s="277"/>
      <c r="K37" s="278"/>
      <c r="L37" s="278"/>
      <c r="M37" s="278"/>
      <c r="N37" s="278"/>
      <c r="O37" s="279"/>
      <c r="P37" s="287"/>
      <c r="Q37" s="287"/>
      <c r="R37" s="287"/>
      <c r="S37" s="287"/>
      <c r="T37" s="287"/>
      <c r="U37" s="288"/>
      <c r="V37" s="286"/>
      <c r="W37" s="287"/>
      <c r="X37" s="287"/>
      <c r="Y37" s="287"/>
      <c r="Z37" s="287"/>
      <c r="AA37" s="288"/>
      <c r="AB37" s="304"/>
      <c r="AC37" s="305"/>
      <c r="AD37" s="305"/>
      <c r="AE37" s="305"/>
      <c r="AF37" s="305"/>
      <c r="AG37" s="306"/>
      <c r="AH37" s="295"/>
      <c r="AI37" s="296"/>
      <c r="AJ37" s="296"/>
      <c r="AK37" s="296"/>
      <c r="AL37" s="296"/>
      <c r="AM37" s="297"/>
      <c r="AN37" s="97"/>
      <c r="AO37" s="356"/>
      <c r="AP37" s="357"/>
      <c r="AQ37" s="357"/>
      <c r="AR37" s="357"/>
      <c r="AS37" s="357"/>
      <c r="AT37" s="358"/>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321"/>
      <c r="C38" s="321"/>
      <c r="D38" s="322"/>
      <c r="E38" s="311" t="s">
        <v>113</v>
      </c>
      <c r="F38" s="312"/>
      <c r="G38" s="312"/>
      <c r="H38" s="312"/>
      <c r="I38" s="313"/>
      <c r="J38" s="280" t="str">
        <f>IF(AND('Mapa final'!$H$10="Muy Baja",'Mapa final'!$L$10="Leve"),CONCATENATE("R",'Mapa final'!$A$10),"")</f>
        <v/>
      </c>
      <c r="K38" s="281"/>
      <c r="L38" s="281" t="str">
        <f>IF(AND('Mapa final'!$H$16="Muy Baja",'Mapa final'!$L$16="Leve"),CONCATENATE("R",'Mapa final'!$A$16),"")</f>
        <v/>
      </c>
      <c r="M38" s="281"/>
      <c r="N38" s="281" t="str">
        <f>IF(AND('Mapa final'!$H$22="Muy Baja",'Mapa final'!$L$22="Leve"),CONCATENATE("R",'Mapa final'!$A$22),"")</f>
        <v/>
      </c>
      <c r="O38" s="282"/>
      <c r="P38" s="280" t="str">
        <f>IF(AND('Mapa final'!$H$10="Muy Baja",'Mapa final'!$L$10="Menor"),CONCATENATE("R",'Mapa final'!$A$10),"")</f>
        <v/>
      </c>
      <c r="Q38" s="281"/>
      <c r="R38" s="281" t="str">
        <f>IF(AND('Mapa final'!$H$16="Muy Baja",'Mapa final'!$L$16="Menor"),CONCATENATE("R",'Mapa final'!$A$16),"")</f>
        <v/>
      </c>
      <c r="S38" s="281"/>
      <c r="T38" s="281" t="str">
        <f>IF(AND('Mapa final'!$H$22="Muy Baja",'Mapa final'!$L$22="Menor"),CONCATENATE("R",'Mapa final'!$A$22),"")</f>
        <v/>
      </c>
      <c r="U38" s="282"/>
      <c r="V38" s="289" t="str">
        <f>IF(AND('Mapa final'!$H$10="Muy Baja",'Mapa final'!$L$10="Moderado"),CONCATENATE("R",'Mapa final'!$A$10),"")</f>
        <v/>
      </c>
      <c r="W38" s="290"/>
      <c r="X38" s="290" t="str">
        <f>IF(AND('Mapa final'!$H$16="Muy Baja",'Mapa final'!$L$16="Moderado"),CONCATENATE("R",'Mapa final'!$A$16),"")</f>
        <v/>
      </c>
      <c r="Y38" s="290"/>
      <c r="Z38" s="290" t="str">
        <f>IF(AND('Mapa final'!$H$22="Muy Baja",'Mapa final'!$L$22="Moderado"),CONCATENATE("R",'Mapa final'!$A$22),"")</f>
        <v/>
      </c>
      <c r="AA38" s="291"/>
      <c r="AB38" s="307" t="str">
        <f>IF(AND('Mapa final'!$H$10="Muy Baja",'Mapa final'!$L$10="Mayor"),CONCATENATE("R",'Mapa final'!$A$10),"")</f>
        <v/>
      </c>
      <c r="AC38" s="308"/>
      <c r="AD38" s="308" t="str">
        <f>IF(AND('Mapa final'!$H$16="Muy Baja",'Mapa final'!$L$16="Mayor"),CONCATENATE("R",'Mapa final'!$A$16),"")</f>
        <v/>
      </c>
      <c r="AE38" s="308"/>
      <c r="AF38" s="308" t="str">
        <f>IF(AND('Mapa final'!$H$22="Muy Baja",'Mapa final'!$L$22="Mayor"),CONCATENATE("R",'Mapa final'!$A$22),"")</f>
        <v/>
      </c>
      <c r="AG38" s="309"/>
      <c r="AH38" s="298" t="str">
        <f>IF(AND('Mapa final'!$H$10="Muy Baja",'Mapa final'!$L$10="Catastrófico"),CONCATENATE("R",'Mapa final'!$A$10),"")</f>
        <v/>
      </c>
      <c r="AI38" s="299"/>
      <c r="AJ38" s="299" t="str">
        <f>IF(AND('Mapa final'!$H$16="Muy Baja",'Mapa final'!$L$16="Catastrófico"),CONCATENATE("R",'Mapa final'!$A$16),"")</f>
        <v/>
      </c>
      <c r="AK38" s="299"/>
      <c r="AL38" s="299" t="str">
        <f>IF(AND('Mapa final'!$H$22="Muy Baja",'Mapa final'!$L$22="Catastrófico"),CONCATENATE("R",'Mapa final'!$A$22),"")</f>
        <v/>
      </c>
      <c r="AM38" s="300"/>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321"/>
      <c r="C39" s="321"/>
      <c r="D39" s="322"/>
      <c r="E39" s="314"/>
      <c r="F39" s="315"/>
      <c r="G39" s="315"/>
      <c r="H39" s="315"/>
      <c r="I39" s="316"/>
      <c r="J39" s="274"/>
      <c r="K39" s="275"/>
      <c r="L39" s="275"/>
      <c r="M39" s="275"/>
      <c r="N39" s="275"/>
      <c r="O39" s="276"/>
      <c r="P39" s="274"/>
      <c r="Q39" s="275"/>
      <c r="R39" s="275"/>
      <c r="S39" s="275"/>
      <c r="T39" s="275"/>
      <c r="U39" s="276"/>
      <c r="V39" s="283"/>
      <c r="W39" s="284"/>
      <c r="X39" s="284"/>
      <c r="Y39" s="284"/>
      <c r="Z39" s="284"/>
      <c r="AA39" s="285"/>
      <c r="AB39" s="301"/>
      <c r="AC39" s="302"/>
      <c r="AD39" s="302"/>
      <c r="AE39" s="302"/>
      <c r="AF39" s="302"/>
      <c r="AG39" s="303"/>
      <c r="AH39" s="292"/>
      <c r="AI39" s="293"/>
      <c r="AJ39" s="293"/>
      <c r="AK39" s="293"/>
      <c r="AL39" s="293"/>
      <c r="AM39" s="294"/>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321"/>
      <c r="C40" s="321"/>
      <c r="D40" s="322"/>
      <c r="E40" s="314"/>
      <c r="F40" s="315"/>
      <c r="G40" s="315"/>
      <c r="H40" s="315"/>
      <c r="I40" s="316"/>
      <c r="J40" s="274" t="str">
        <f>IF(AND('Mapa final'!$H$28="Muy Baja",'Mapa final'!$L$28="Leve"),CONCATENATE("R",'Mapa final'!$A$28),"")</f>
        <v/>
      </c>
      <c r="K40" s="275"/>
      <c r="L40" s="275" t="str">
        <f>IF(AND('Mapa final'!$H$34="Muy Baja",'Mapa final'!$L$34="Leve"),CONCATENATE("R",'Mapa final'!$A$34),"")</f>
        <v/>
      </c>
      <c r="M40" s="275"/>
      <c r="N40" s="275" t="str">
        <f>IF(AND('Mapa final'!$H$40="Muy Baja",'Mapa final'!$L$40="Leve"),CONCATENATE("R",'Mapa final'!$A$40),"")</f>
        <v/>
      </c>
      <c r="O40" s="276"/>
      <c r="P40" s="274" t="str">
        <f>IF(AND('Mapa final'!$H$28="Muy Baja",'Mapa final'!$L$28="Menor"),CONCATENATE("R",'Mapa final'!$A$28),"")</f>
        <v/>
      </c>
      <c r="Q40" s="275"/>
      <c r="R40" s="275" t="str">
        <f>IF(AND('Mapa final'!$H$34="Muy Baja",'Mapa final'!$L$34="Menor"),CONCATENATE("R",'Mapa final'!$A$34),"")</f>
        <v/>
      </c>
      <c r="S40" s="275"/>
      <c r="T40" s="275" t="str">
        <f>IF(AND('Mapa final'!$H$40="Muy Baja",'Mapa final'!$L$40="Menor"),CONCATENATE("R",'Mapa final'!$A$40),"")</f>
        <v/>
      </c>
      <c r="U40" s="276"/>
      <c r="V40" s="283" t="str">
        <f>IF(AND('Mapa final'!$H$28="Muy Baja",'Mapa final'!$L$28="Moderado"),CONCATENATE("R",'Mapa final'!$A$28),"")</f>
        <v/>
      </c>
      <c r="W40" s="284"/>
      <c r="X40" s="284" t="str">
        <f>IF(AND('Mapa final'!$H$34="Muy Baja",'Mapa final'!$L$34="Moderado"),CONCATENATE("R",'Mapa final'!$A$34),"")</f>
        <v/>
      </c>
      <c r="Y40" s="284"/>
      <c r="Z40" s="284" t="str">
        <f>IF(AND('Mapa final'!$H$40="Muy Baja",'Mapa final'!$L$40="Moderado"),CONCATENATE("R",'Mapa final'!$A$40),"")</f>
        <v/>
      </c>
      <c r="AA40" s="285"/>
      <c r="AB40" s="301" t="str">
        <f>IF(AND('Mapa final'!$H$28="Muy Baja",'Mapa final'!$L$28="Mayor"),CONCATENATE("R",'Mapa final'!$A$28),"")</f>
        <v/>
      </c>
      <c r="AC40" s="302"/>
      <c r="AD40" s="302" t="str">
        <f>IF(AND('Mapa final'!$H$34="Muy Baja",'Mapa final'!$L$34="Mayor"),CONCATENATE("R",'Mapa final'!$A$34),"")</f>
        <v/>
      </c>
      <c r="AE40" s="302"/>
      <c r="AF40" s="302" t="str">
        <f>IF(AND('Mapa final'!$H$40="Muy Baja",'Mapa final'!$L$40="Mayor"),CONCATENATE("R",'Mapa final'!$A$40),"")</f>
        <v/>
      </c>
      <c r="AG40" s="303"/>
      <c r="AH40" s="292" t="str">
        <f>IF(AND('Mapa final'!$H$28="Muy Baja",'Mapa final'!$L$28="Catastrófico"),CONCATENATE("R",'Mapa final'!$A$28),"")</f>
        <v/>
      </c>
      <c r="AI40" s="293"/>
      <c r="AJ40" s="293" t="str">
        <f>IF(AND('Mapa final'!$H$34="Muy Baja",'Mapa final'!$L$34="Catastrófico"),CONCATENATE("R",'Mapa final'!$A$34),"")</f>
        <v/>
      </c>
      <c r="AK40" s="293"/>
      <c r="AL40" s="293" t="str">
        <f>IF(AND('Mapa final'!$H$40="Muy Baja",'Mapa final'!$L$40="Catastrófico"),CONCATENATE("R",'Mapa final'!$A$40),"")</f>
        <v/>
      </c>
      <c r="AM40" s="294"/>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321"/>
      <c r="C41" s="321"/>
      <c r="D41" s="322"/>
      <c r="E41" s="314"/>
      <c r="F41" s="315"/>
      <c r="G41" s="315"/>
      <c r="H41" s="315"/>
      <c r="I41" s="316"/>
      <c r="J41" s="274"/>
      <c r="K41" s="275"/>
      <c r="L41" s="275"/>
      <c r="M41" s="275"/>
      <c r="N41" s="275"/>
      <c r="O41" s="276"/>
      <c r="P41" s="274"/>
      <c r="Q41" s="275"/>
      <c r="R41" s="275"/>
      <c r="S41" s="275"/>
      <c r="T41" s="275"/>
      <c r="U41" s="276"/>
      <c r="V41" s="283"/>
      <c r="W41" s="284"/>
      <c r="X41" s="284"/>
      <c r="Y41" s="284"/>
      <c r="Z41" s="284"/>
      <c r="AA41" s="285"/>
      <c r="AB41" s="301"/>
      <c r="AC41" s="302"/>
      <c r="AD41" s="302"/>
      <c r="AE41" s="302"/>
      <c r="AF41" s="302"/>
      <c r="AG41" s="303"/>
      <c r="AH41" s="292"/>
      <c r="AI41" s="293"/>
      <c r="AJ41" s="293"/>
      <c r="AK41" s="293"/>
      <c r="AL41" s="293"/>
      <c r="AM41" s="294"/>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321"/>
      <c r="C42" s="321"/>
      <c r="D42" s="322"/>
      <c r="E42" s="314"/>
      <c r="F42" s="315"/>
      <c r="G42" s="315"/>
      <c r="H42" s="315"/>
      <c r="I42" s="316"/>
      <c r="J42" s="274" t="str">
        <f>IF(AND('Mapa final'!$H$46="Muy Baja",'Mapa final'!$L$46="Leve"),CONCATENATE("R",'Mapa final'!$A$46),"")</f>
        <v/>
      </c>
      <c r="K42" s="275"/>
      <c r="L42" s="275" t="str">
        <f>IF(AND('Mapa final'!$H$52="Muy Baja",'Mapa final'!$L$52="Leve"),CONCATENATE("R",'Mapa final'!$A$52),"")</f>
        <v/>
      </c>
      <c r="M42" s="275"/>
      <c r="N42" s="275" t="str">
        <f>IF(AND('Mapa final'!$H$58="Muy Baja",'Mapa final'!$L$58="Leve"),CONCATENATE("R",'Mapa final'!$A$58),"")</f>
        <v/>
      </c>
      <c r="O42" s="276"/>
      <c r="P42" s="274" t="str">
        <f>IF(AND('Mapa final'!$H$46="Muy Baja",'Mapa final'!$L$46="Menor"),CONCATENATE("R",'Mapa final'!$A$46),"")</f>
        <v/>
      </c>
      <c r="Q42" s="275"/>
      <c r="R42" s="275" t="str">
        <f>IF(AND('Mapa final'!$H$52="Muy Baja",'Mapa final'!$L$52="Menor"),CONCATENATE("R",'Mapa final'!$A$52),"")</f>
        <v/>
      </c>
      <c r="S42" s="275"/>
      <c r="T42" s="275" t="str">
        <f>IF(AND('Mapa final'!$H$58="Muy Baja",'Mapa final'!$L$58="Menor"),CONCATENATE("R",'Mapa final'!$A$58),"")</f>
        <v/>
      </c>
      <c r="U42" s="276"/>
      <c r="V42" s="283" t="str">
        <f>IF(AND('Mapa final'!$H$46="Muy Baja",'Mapa final'!$L$46="Moderado"),CONCATENATE("R",'Mapa final'!$A$46),"")</f>
        <v/>
      </c>
      <c r="W42" s="284"/>
      <c r="X42" s="284" t="str">
        <f>IF(AND('Mapa final'!$H$52="Muy Baja",'Mapa final'!$L$52="Moderado"),CONCATENATE("R",'Mapa final'!$A$52),"")</f>
        <v/>
      </c>
      <c r="Y42" s="284"/>
      <c r="Z42" s="284" t="str">
        <f>IF(AND('Mapa final'!$H$58="Muy Baja",'Mapa final'!$L$58="Moderado"),CONCATENATE("R",'Mapa final'!$A$58),"")</f>
        <v/>
      </c>
      <c r="AA42" s="285"/>
      <c r="AB42" s="301" t="str">
        <f>IF(AND('Mapa final'!$H$46="Muy Baja",'Mapa final'!$L$46="Mayor"),CONCATENATE("R",'Mapa final'!$A$46),"")</f>
        <v/>
      </c>
      <c r="AC42" s="302"/>
      <c r="AD42" s="302" t="str">
        <f>IF(AND('Mapa final'!$H$52="Muy Baja",'Mapa final'!$L$52="Mayor"),CONCATENATE("R",'Mapa final'!$A$52),"")</f>
        <v/>
      </c>
      <c r="AE42" s="302"/>
      <c r="AF42" s="302" t="str">
        <f>IF(AND('Mapa final'!$H$58="Muy Baja",'Mapa final'!$L$58="Mayor"),CONCATENATE("R",'Mapa final'!$A$58),"")</f>
        <v/>
      </c>
      <c r="AG42" s="303"/>
      <c r="AH42" s="292" t="str">
        <f>IF(AND('Mapa final'!$H$46="Muy Baja",'Mapa final'!$L$46="Catastrófico"),CONCATENATE("R",'Mapa final'!$A$46),"")</f>
        <v/>
      </c>
      <c r="AI42" s="293"/>
      <c r="AJ42" s="293" t="str">
        <f>IF(AND('Mapa final'!$H$52="Muy Baja",'Mapa final'!$L$52="Catastrófico"),CONCATENATE("R",'Mapa final'!$A$52),"")</f>
        <v/>
      </c>
      <c r="AK42" s="293"/>
      <c r="AL42" s="293" t="str">
        <f>IF(AND('Mapa final'!$H$58="Muy Baja",'Mapa final'!$L$58="Catastrófico"),CONCATENATE("R",'Mapa final'!$A$58),"")</f>
        <v/>
      </c>
      <c r="AM42" s="294"/>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321"/>
      <c r="C43" s="321"/>
      <c r="D43" s="322"/>
      <c r="E43" s="314"/>
      <c r="F43" s="315"/>
      <c r="G43" s="315"/>
      <c r="H43" s="315"/>
      <c r="I43" s="316"/>
      <c r="J43" s="274"/>
      <c r="K43" s="275"/>
      <c r="L43" s="275"/>
      <c r="M43" s="275"/>
      <c r="N43" s="275"/>
      <c r="O43" s="276"/>
      <c r="P43" s="274"/>
      <c r="Q43" s="275"/>
      <c r="R43" s="275"/>
      <c r="S43" s="275"/>
      <c r="T43" s="275"/>
      <c r="U43" s="276"/>
      <c r="V43" s="283"/>
      <c r="W43" s="284"/>
      <c r="X43" s="284"/>
      <c r="Y43" s="284"/>
      <c r="Z43" s="284"/>
      <c r="AA43" s="285"/>
      <c r="AB43" s="301"/>
      <c r="AC43" s="302"/>
      <c r="AD43" s="302"/>
      <c r="AE43" s="302"/>
      <c r="AF43" s="302"/>
      <c r="AG43" s="303"/>
      <c r="AH43" s="292"/>
      <c r="AI43" s="293"/>
      <c r="AJ43" s="293"/>
      <c r="AK43" s="293"/>
      <c r="AL43" s="293"/>
      <c r="AM43" s="294"/>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321"/>
      <c r="C44" s="321"/>
      <c r="D44" s="322"/>
      <c r="E44" s="314"/>
      <c r="F44" s="315"/>
      <c r="G44" s="315"/>
      <c r="H44" s="315"/>
      <c r="I44" s="316"/>
      <c r="J44" s="274" t="str">
        <f>IF(AND('Mapa final'!$H$64="Muy Baja",'Mapa final'!$L$64="Leve"),CONCATENATE("R",'Mapa final'!$A$64),"")</f>
        <v/>
      </c>
      <c r="K44" s="275"/>
      <c r="L44" s="275" t="str">
        <f>IF(AND('Mapa final'!$H$70="Muy Baja",'Mapa final'!$L$70="Leve"),CONCATENATE("R",'Mapa final'!$A$70),"")</f>
        <v/>
      </c>
      <c r="M44" s="275"/>
      <c r="N44" s="275" t="str">
        <f>IF(AND('Mapa final'!$H$76="Muy Baja",'Mapa final'!$L$76="Leve"),CONCATENATE("R",'Mapa final'!$A$76),"")</f>
        <v/>
      </c>
      <c r="O44" s="276"/>
      <c r="P44" s="274" t="str">
        <f>IF(AND('Mapa final'!$H$64="Muy Baja",'Mapa final'!$L$64="Menor"),CONCATENATE("R",'Mapa final'!$A$64),"")</f>
        <v/>
      </c>
      <c r="Q44" s="275"/>
      <c r="R44" s="275" t="str">
        <f>IF(AND('Mapa final'!$H$70="Muy Baja",'Mapa final'!$L$70="Menor"),CONCATENATE("R",'Mapa final'!$A$70),"")</f>
        <v/>
      </c>
      <c r="S44" s="275"/>
      <c r="T44" s="275" t="str">
        <f>IF(AND('Mapa final'!$H$76="Muy Baja",'Mapa final'!$L$76="Menor"),CONCATENATE("R",'Mapa final'!$A$76),"")</f>
        <v/>
      </c>
      <c r="U44" s="276"/>
      <c r="V44" s="283" t="str">
        <f>IF(AND('Mapa final'!$H$64="Muy Baja",'Mapa final'!$L$64="Moderado"),CONCATENATE("R",'Mapa final'!$A$64),"")</f>
        <v/>
      </c>
      <c r="W44" s="284"/>
      <c r="X44" s="284" t="str">
        <f>IF(AND('Mapa final'!$H$70="Muy Baja",'Mapa final'!$L$70="Moderado"),CONCATENATE("R",'Mapa final'!$A$70),"")</f>
        <v/>
      </c>
      <c r="Y44" s="284"/>
      <c r="Z44" s="284" t="str">
        <f>IF(AND('Mapa final'!$H$76="Muy Baja",'Mapa final'!$L$76="Moderado"),CONCATENATE("R",'Mapa final'!$A$76),"")</f>
        <v/>
      </c>
      <c r="AA44" s="285"/>
      <c r="AB44" s="301" t="str">
        <f>IF(AND('Mapa final'!$H$64="Muy Baja",'Mapa final'!$L$64="Mayor"),CONCATENATE("R",'Mapa final'!$A$64),"")</f>
        <v/>
      </c>
      <c r="AC44" s="302"/>
      <c r="AD44" s="302" t="str">
        <f>IF(AND('Mapa final'!$H$70="Muy Baja",'Mapa final'!$L$70="Mayor"),CONCATENATE("R",'Mapa final'!$A$70),"")</f>
        <v/>
      </c>
      <c r="AE44" s="302"/>
      <c r="AF44" s="302" t="str">
        <f>IF(AND('Mapa final'!$H$76="Muy Baja",'Mapa final'!$L$76="Mayor"),CONCATENATE("R",'Mapa final'!$A$76),"")</f>
        <v/>
      </c>
      <c r="AG44" s="303"/>
      <c r="AH44" s="292" t="str">
        <f>IF(AND('Mapa final'!$H$64="Muy Baja",'Mapa final'!$L$64="Catastrófico"),CONCATENATE("R",'Mapa final'!$A$64),"")</f>
        <v/>
      </c>
      <c r="AI44" s="293"/>
      <c r="AJ44" s="293" t="str">
        <f>IF(AND('Mapa final'!$H$70="Muy Baja",'Mapa final'!$L$70="Catastrófico"),CONCATENATE("R",'Mapa final'!$A$70),"")</f>
        <v/>
      </c>
      <c r="AK44" s="293"/>
      <c r="AL44" s="293" t="str">
        <f>IF(AND('Mapa final'!$H$76="Muy Baja",'Mapa final'!$L$76="Catastrófico"),CONCATENATE("R",'Mapa final'!$A$76),"")</f>
        <v/>
      </c>
      <c r="AM44" s="294"/>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321"/>
      <c r="C45" s="321"/>
      <c r="D45" s="322"/>
      <c r="E45" s="317"/>
      <c r="F45" s="318"/>
      <c r="G45" s="318"/>
      <c r="H45" s="318"/>
      <c r="I45" s="319"/>
      <c r="J45" s="277"/>
      <c r="K45" s="278"/>
      <c r="L45" s="278"/>
      <c r="M45" s="278"/>
      <c r="N45" s="278"/>
      <c r="O45" s="279"/>
      <c r="P45" s="277"/>
      <c r="Q45" s="278"/>
      <c r="R45" s="278"/>
      <c r="S45" s="278"/>
      <c r="T45" s="278"/>
      <c r="U45" s="279"/>
      <c r="V45" s="286"/>
      <c r="W45" s="287"/>
      <c r="X45" s="287"/>
      <c r="Y45" s="287"/>
      <c r="Z45" s="287"/>
      <c r="AA45" s="288"/>
      <c r="AB45" s="304"/>
      <c r="AC45" s="305"/>
      <c r="AD45" s="305"/>
      <c r="AE45" s="305"/>
      <c r="AF45" s="305"/>
      <c r="AG45" s="306"/>
      <c r="AH45" s="295"/>
      <c r="AI45" s="296"/>
      <c r="AJ45" s="296"/>
      <c r="AK45" s="296"/>
      <c r="AL45" s="296"/>
      <c r="AM45" s="2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11" t="s">
        <v>112</v>
      </c>
      <c r="K46" s="312"/>
      <c r="L46" s="312"/>
      <c r="M46" s="312"/>
      <c r="N46" s="312"/>
      <c r="O46" s="313"/>
      <c r="P46" s="311" t="s">
        <v>111</v>
      </c>
      <c r="Q46" s="312"/>
      <c r="R46" s="312"/>
      <c r="S46" s="312"/>
      <c r="T46" s="312"/>
      <c r="U46" s="313"/>
      <c r="V46" s="311" t="s">
        <v>110</v>
      </c>
      <c r="W46" s="312"/>
      <c r="X46" s="312"/>
      <c r="Y46" s="312"/>
      <c r="Z46" s="312"/>
      <c r="AA46" s="313"/>
      <c r="AB46" s="311" t="s">
        <v>109</v>
      </c>
      <c r="AC46" s="320"/>
      <c r="AD46" s="312"/>
      <c r="AE46" s="312"/>
      <c r="AF46" s="312"/>
      <c r="AG46" s="313"/>
      <c r="AH46" s="311" t="s">
        <v>108</v>
      </c>
      <c r="AI46" s="312"/>
      <c r="AJ46" s="312"/>
      <c r="AK46" s="312"/>
      <c r="AL46" s="312"/>
      <c r="AM46" s="313"/>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14"/>
      <c r="K47" s="315"/>
      <c r="L47" s="315"/>
      <c r="M47" s="315"/>
      <c r="N47" s="315"/>
      <c r="O47" s="316"/>
      <c r="P47" s="314"/>
      <c r="Q47" s="315"/>
      <c r="R47" s="315"/>
      <c r="S47" s="315"/>
      <c r="T47" s="315"/>
      <c r="U47" s="316"/>
      <c r="V47" s="314"/>
      <c r="W47" s="315"/>
      <c r="X47" s="315"/>
      <c r="Y47" s="315"/>
      <c r="Z47" s="315"/>
      <c r="AA47" s="316"/>
      <c r="AB47" s="314"/>
      <c r="AC47" s="315"/>
      <c r="AD47" s="315"/>
      <c r="AE47" s="315"/>
      <c r="AF47" s="315"/>
      <c r="AG47" s="316"/>
      <c r="AH47" s="314"/>
      <c r="AI47" s="315"/>
      <c r="AJ47" s="315"/>
      <c r="AK47" s="315"/>
      <c r="AL47" s="315"/>
      <c r="AM47" s="316"/>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14"/>
      <c r="K48" s="315"/>
      <c r="L48" s="315"/>
      <c r="M48" s="315"/>
      <c r="N48" s="315"/>
      <c r="O48" s="316"/>
      <c r="P48" s="314"/>
      <c r="Q48" s="315"/>
      <c r="R48" s="315"/>
      <c r="S48" s="315"/>
      <c r="T48" s="315"/>
      <c r="U48" s="316"/>
      <c r="V48" s="314"/>
      <c r="W48" s="315"/>
      <c r="X48" s="315"/>
      <c r="Y48" s="315"/>
      <c r="Z48" s="315"/>
      <c r="AA48" s="316"/>
      <c r="AB48" s="314"/>
      <c r="AC48" s="315"/>
      <c r="AD48" s="315"/>
      <c r="AE48" s="315"/>
      <c r="AF48" s="315"/>
      <c r="AG48" s="316"/>
      <c r="AH48" s="314"/>
      <c r="AI48" s="315"/>
      <c r="AJ48" s="315"/>
      <c r="AK48" s="315"/>
      <c r="AL48" s="315"/>
      <c r="AM48" s="316"/>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14"/>
      <c r="K49" s="315"/>
      <c r="L49" s="315"/>
      <c r="M49" s="315"/>
      <c r="N49" s="315"/>
      <c r="O49" s="316"/>
      <c r="P49" s="314"/>
      <c r="Q49" s="315"/>
      <c r="R49" s="315"/>
      <c r="S49" s="315"/>
      <c r="T49" s="315"/>
      <c r="U49" s="316"/>
      <c r="V49" s="314"/>
      <c r="W49" s="315"/>
      <c r="X49" s="315"/>
      <c r="Y49" s="315"/>
      <c r="Z49" s="315"/>
      <c r="AA49" s="316"/>
      <c r="AB49" s="314"/>
      <c r="AC49" s="315"/>
      <c r="AD49" s="315"/>
      <c r="AE49" s="315"/>
      <c r="AF49" s="315"/>
      <c r="AG49" s="316"/>
      <c r="AH49" s="314"/>
      <c r="AI49" s="315"/>
      <c r="AJ49" s="315"/>
      <c r="AK49" s="315"/>
      <c r="AL49" s="315"/>
      <c r="AM49" s="316"/>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14"/>
      <c r="K50" s="315"/>
      <c r="L50" s="315"/>
      <c r="M50" s="315"/>
      <c r="N50" s="315"/>
      <c r="O50" s="316"/>
      <c r="P50" s="314"/>
      <c r="Q50" s="315"/>
      <c r="R50" s="315"/>
      <c r="S50" s="315"/>
      <c r="T50" s="315"/>
      <c r="U50" s="316"/>
      <c r="V50" s="314"/>
      <c r="W50" s="315"/>
      <c r="X50" s="315"/>
      <c r="Y50" s="315"/>
      <c r="Z50" s="315"/>
      <c r="AA50" s="316"/>
      <c r="AB50" s="314"/>
      <c r="AC50" s="315"/>
      <c r="AD50" s="315"/>
      <c r="AE50" s="315"/>
      <c r="AF50" s="315"/>
      <c r="AG50" s="316"/>
      <c r="AH50" s="314"/>
      <c r="AI50" s="315"/>
      <c r="AJ50" s="315"/>
      <c r="AK50" s="315"/>
      <c r="AL50" s="315"/>
      <c r="AM50" s="31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17"/>
      <c r="K51" s="318"/>
      <c r="L51" s="318"/>
      <c r="M51" s="318"/>
      <c r="N51" s="318"/>
      <c r="O51" s="319"/>
      <c r="P51" s="317"/>
      <c r="Q51" s="318"/>
      <c r="R51" s="318"/>
      <c r="S51" s="318"/>
      <c r="T51" s="318"/>
      <c r="U51" s="319"/>
      <c r="V51" s="317"/>
      <c r="W51" s="318"/>
      <c r="X51" s="318"/>
      <c r="Y51" s="318"/>
      <c r="Z51" s="318"/>
      <c r="AA51" s="319"/>
      <c r="AB51" s="317"/>
      <c r="AC51" s="318"/>
      <c r="AD51" s="318"/>
      <c r="AE51" s="318"/>
      <c r="AF51" s="318"/>
      <c r="AG51" s="319"/>
      <c r="AH51" s="317"/>
      <c r="AI51" s="318"/>
      <c r="AJ51" s="318"/>
      <c r="AK51" s="318"/>
      <c r="AL51" s="318"/>
      <c r="AM51" s="319"/>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B36" sqref="AB3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88" t="s">
        <v>160</v>
      </c>
      <c r="C2" s="389"/>
      <c r="D2" s="389"/>
      <c r="E2" s="389"/>
      <c r="F2" s="389"/>
      <c r="G2" s="389"/>
      <c r="H2" s="389"/>
      <c r="I2" s="389"/>
      <c r="J2" s="310" t="s">
        <v>2</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89"/>
      <c r="C3" s="389"/>
      <c r="D3" s="389"/>
      <c r="E3" s="389"/>
      <c r="F3" s="389"/>
      <c r="G3" s="389"/>
      <c r="H3" s="389"/>
      <c r="I3" s="389"/>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89"/>
      <c r="C4" s="389"/>
      <c r="D4" s="389"/>
      <c r="E4" s="389"/>
      <c r="F4" s="389"/>
      <c r="G4" s="389"/>
      <c r="H4" s="389"/>
      <c r="I4" s="389"/>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321" t="s">
        <v>4</v>
      </c>
      <c r="C6" s="321"/>
      <c r="D6" s="322"/>
      <c r="E6" s="359" t="s">
        <v>116</v>
      </c>
      <c r="F6" s="360"/>
      <c r="G6" s="360"/>
      <c r="H6" s="360"/>
      <c r="I6" s="361"/>
      <c r="J6" s="60" t="str">
        <f>IF(AND('Mapa final'!$Y$10="Muy Alta",'Mapa final'!$AA$10="Leve"),CONCATENATE("R1C",'Mapa final'!$O$10),"")</f>
        <v/>
      </c>
      <c r="K6" s="61" t="str">
        <f>IF(AND('Mapa final'!$Y$11="Muy Alta",'Mapa final'!$AA$11="Leve"),CONCATENATE("R1C",'Mapa final'!$O$11),"")</f>
        <v/>
      </c>
      <c r="L6" s="61" t="str">
        <f>IF(AND('Mapa final'!$Y$12="Muy Alta",'Mapa final'!$AA$12="Leve"),CONCATENATE("R1C",'Mapa final'!$O$12),"")</f>
        <v/>
      </c>
      <c r="M6" s="61" t="str">
        <f>IF(AND('Mapa final'!$Y$13="Muy Alta",'Mapa final'!$AA$13="Leve"),CONCATENATE("R1C",'Mapa final'!$O$13),"")</f>
        <v/>
      </c>
      <c r="N6" s="61" t="str">
        <f>IF(AND('Mapa final'!$Y$14="Muy Alta",'Mapa final'!$AA$14="Leve"),CONCATENATE("R1C",'Mapa final'!$O$14),"")</f>
        <v/>
      </c>
      <c r="O6" s="62" t="str">
        <f>IF(AND('Mapa final'!$Y$15="Muy Alta",'Mapa final'!$AA$15="Leve"),CONCATENATE("R1C",'Mapa final'!$O$15),"")</f>
        <v/>
      </c>
      <c r="P6" s="60" t="str">
        <f>IF(AND('Mapa final'!$Y$10="Muy Alta",'Mapa final'!$AA$10="Menor"),CONCATENATE("R1C",'Mapa final'!$O$10),"")</f>
        <v/>
      </c>
      <c r="Q6" s="61" t="str">
        <f>IF(AND('Mapa final'!$Y$11="Muy Alta",'Mapa final'!$AA$11="Menor"),CONCATENATE("R1C",'Mapa final'!$O$11),"")</f>
        <v/>
      </c>
      <c r="R6" s="61" t="str">
        <f>IF(AND('Mapa final'!$Y$12="Muy Alta",'Mapa final'!$AA$12="Menor"),CONCATENATE("R1C",'Mapa final'!$O$12),"")</f>
        <v/>
      </c>
      <c r="S6" s="61" t="str">
        <f>IF(AND('Mapa final'!$Y$13="Muy Alta",'Mapa final'!$AA$13="Menor"),CONCATENATE("R1C",'Mapa final'!$O$13),"")</f>
        <v/>
      </c>
      <c r="T6" s="61" t="str">
        <f>IF(AND('Mapa final'!$Y$14="Muy Alta",'Mapa final'!$AA$14="Menor"),CONCATENATE("R1C",'Mapa final'!$O$14),"")</f>
        <v/>
      </c>
      <c r="U6" s="62" t="str">
        <f>IF(AND('Mapa final'!$Y$15="Muy Alta",'Mapa final'!$AA$15="Menor"),CONCATENATE("R1C",'Mapa final'!$O$15),"")</f>
        <v/>
      </c>
      <c r="V6" s="60" t="str">
        <f>IF(AND('Mapa final'!$Y$10="Muy Alta",'Mapa final'!$AA$10="Moderado"),CONCATENATE("R1C",'Mapa final'!$O$10),"")</f>
        <v/>
      </c>
      <c r="W6" s="61" t="str">
        <f>IF(AND('Mapa final'!$Y$11="Muy Alta",'Mapa final'!$AA$11="Moderado"),CONCATENATE("R1C",'Mapa final'!$O$11),"")</f>
        <v/>
      </c>
      <c r="X6" s="61" t="str">
        <f>IF(AND('Mapa final'!$Y$12="Muy Alta",'Mapa final'!$AA$12="Moderado"),CONCATENATE("R1C",'Mapa final'!$O$12),"")</f>
        <v/>
      </c>
      <c r="Y6" s="61" t="str">
        <f>IF(AND('Mapa final'!$Y$13="Muy Alta",'Mapa final'!$AA$13="Moderado"),CONCATENATE("R1C",'Mapa final'!$O$13),"")</f>
        <v/>
      </c>
      <c r="Z6" s="61" t="str">
        <f>IF(AND('Mapa final'!$Y$14="Muy Alta",'Mapa final'!$AA$14="Moderado"),CONCATENATE("R1C",'Mapa final'!$O$14),"")</f>
        <v/>
      </c>
      <c r="AA6" s="62" t="str">
        <f>IF(AND('Mapa final'!$Y$15="Muy Alta",'Mapa final'!$AA$15="Moderado"),CONCATENATE("R1C",'Mapa final'!$O$15),"")</f>
        <v/>
      </c>
      <c r="AB6" s="60" t="str">
        <f>IF(AND('Mapa final'!$Y$10="Muy Alta",'Mapa final'!$AA$10="Mayor"),CONCATENATE("R1C",'Mapa final'!$O$10),"")</f>
        <v/>
      </c>
      <c r="AC6" s="61" t="str">
        <f>IF(AND('Mapa final'!$Y$11="Muy Alta",'Mapa final'!$AA$11="Mayor"),CONCATENATE("R1C",'Mapa final'!$O$11),"")</f>
        <v/>
      </c>
      <c r="AD6" s="61" t="str">
        <f>IF(AND('Mapa final'!$Y$12="Muy Alta",'Mapa final'!$AA$12="Mayor"),CONCATENATE("R1C",'Mapa final'!$O$12),"")</f>
        <v/>
      </c>
      <c r="AE6" s="61" t="str">
        <f>IF(AND('Mapa final'!$Y$13="Muy Alta",'Mapa final'!$AA$13="Mayor"),CONCATENATE("R1C",'Mapa final'!$O$13),"")</f>
        <v/>
      </c>
      <c r="AF6" s="61" t="str">
        <f>IF(AND('Mapa final'!$Y$14="Muy Alta",'Mapa final'!$AA$14="Mayor"),CONCATENATE("R1C",'Mapa final'!$O$14),"")</f>
        <v/>
      </c>
      <c r="AG6" s="62" t="str">
        <f>IF(AND('Mapa final'!$Y$15="Muy Alta",'Mapa final'!$AA$15="Mayor"),CONCATENATE("R1C",'Mapa final'!$O$15),"")</f>
        <v/>
      </c>
      <c r="AH6" s="63" t="str">
        <f>IF(AND('Mapa final'!$Y$10="Muy Alta",'Mapa final'!$AA$10="Catastrófico"),CONCATENATE("R1C",'Mapa final'!$O$10),"")</f>
        <v/>
      </c>
      <c r="AI6" s="64" t="str">
        <f>IF(AND('Mapa final'!$Y$11="Muy Alta",'Mapa final'!$AA$11="Catastrófico"),CONCATENATE("R1C",'Mapa final'!$O$11),"")</f>
        <v/>
      </c>
      <c r="AJ6" s="64" t="str">
        <f>IF(AND('Mapa final'!$Y$12="Muy Alta",'Mapa final'!$AA$12="Catastrófico"),CONCATENATE("R1C",'Mapa final'!$O$12),"")</f>
        <v/>
      </c>
      <c r="AK6" s="64" t="str">
        <f>IF(AND('Mapa final'!$Y$13="Muy Alta",'Mapa final'!$AA$13="Catastrófico"),CONCATENATE("R1C",'Mapa final'!$O$13),"")</f>
        <v/>
      </c>
      <c r="AL6" s="64" t="str">
        <f>IF(AND('Mapa final'!$Y$14="Muy Alta",'Mapa final'!$AA$14="Catastrófico"),CONCATENATE("R1C",'Mapa final'!$O$14),"")</f>
        <v/>
      </c>
      <c r="AM6" s="65" t="str">
        <f>IF(AND('Mapa final'!$Y$15="Muy Alta",'Mapa final'!$AA$15="Catastrófico"),CONCATENATE("R1C",'Mapa final'!$O$15),"")</f>
        <v/>
      </c>
      <c r="AN6" s="97"/>
      <c r="AO6" s="379" t="s">
        <v>79</v>
      </c>
      <c r="AP6" s="380"/>
      <c r="AQ6" s="380"/>
      <c r="AR6" s="380"/>
      <c r="AS6" s="380"/>
      <c r="AT6" s="381"/>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321"/>
      <c r="C7" s="321"/>
      <c r="D7" s="322"/>
      <c r="E7" s="362"/>
      <c r="F7" s="363"/>
      <c r="G7" s="363"/>
      <c r="H7" s="363"/>
      <c r="I7" s="364"/>
      <c r="J7" s="66" t="str">
        <f>IF(AND('Mapa final'!$Y$16="Muy Alta",'Mapa final'!$AA$16="Leve"),CONCATENATE("R2C",'Mapa final'!$O$16),"")</f>
        <v/>
      </c>
      <c r="K7" s="67" t="str">
        <f>IF(AND('Mapa final'!$Y$17="Muy Alta",'Mapa final'!$AA$17="Leve"),CONCATENATE("R2C",'Mapa final'!$O$17),"")</f>
        <v/>
      </c>
      <c r="L7" s="67" t="str">
        <f>IF(AND('Mapa final'!$Y$18="Muy Alta",'Mapa final'!$AA$18="Leve"),CONCATENATE("R2C",'Mapa final'!$O$18),"")</f>
        <v/>
      </c>
      <c r="M7" s="67" t="str">
        <f>IF(AND('Mapa final'!$Y$19="Muy Alta",'Mapa final'!$AA$19="Leve"),CONCATENATE("R2C",'Mapa final'!$O$19),"")</f>
        <v/>
      </c>
      <c r="N7" s="67" t="str">
        <f>IF(AND('Mapa final'!$Y$20="Muy Alta",'Mapa final'!$AA$20="Leve"),CONCATENATE("R2C",'Mapa final'!$O$20),"")</f>
        <v/>
      </c>
      <c r="O7" s="68" t="str">
        <f>IF(AND('Mapa final'!$Y$21="Muy Alta",'Mapa final'!$AA$21="Leve"),CONCATENATE("R2C",'Mapa final'!$O$21),"")</f>
        <v/>
      </c>
      <c r="P7" s="66" t="str">
        <f>IF(AND('Mapa final'!$Y$16="Muy Alta",'Mapa final'!$AA$16="Menor"),CONCATENATE("R2C",'Mapa final'!$O$16),"")</f>
        <v/>
      </c>
      <c r="Q7" s="67" t="str">
        <f>IF(AND('Mapa final'!$Y$17="Muy Alta",'Mapa final'!$AA$17="Menor"),CONCATENATE("R2C",'Mapa final'!$O$17),"")</f>
        <v/>
      </c>
      <c r="R7" s="67" t="str">
        <f>IF(AND('Mapa final'!$Y$18="Muy Alta",'Mapa final'!$AA$18="Menor"),CONCATENATE("R2C",'Mapa final'!$O$18),"")</f>
        <v/>
      </c>
      <c r="S7" s="67" t="str">
        <f>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IF(AND('Mapa final'!$Y$16="Muy Alta",'Mapa final'!$AA$16="Moderado"),CONCATENATE("R2C",'Mapa final'!$O$16),"")</f>
        <v/>
      </c>
      <c r="W7" s="67" t="str">
        <f>IF(AND('Mapa final'!$Y$17="Muy Alta",'Mapa final'!$AA$17="Moderado"),CONCATENATE("R2C",'Mapa final'!$O$17),"")</f>
        <v/>
      </c>
      <c r="X7" s="67" t="str">
        <f>IF(AND('Mapa final'!$Y$18="Muy Alta",'Mapa final'!$AA$18="Moderado"),CONCATENATE("R2C",'Mapa final'!$O$18),"")</f>
        <v/>
      </c>
      <c r="Y7" s="67" t="str">
        <f>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IF(AND('Mapa final'!$Y$16="Muy Alta",'Mapa final'!$AA$16="Mayor"),CONCATENATE("R2C",'Mapa final'!$O$16),"")</f>
        <v/>
      </c>
      <c r="AC7" s="67" t="str">
        <f>IF(AND('Mapa final'!$Y$17="Muy Alta",'Mapa final'!$AA$17="Mayor"),CONCATENATE("R2C",'Mapa final'!$O$17),"")</f>
        <v/>
      </c>
      <c r="AD7" s="67" t="str">
        <f>IF(AND('Mapa final'!$Y$18="Muy Alta",'Mapa final'!$AA$18="Mayor"),CONCATENATE("R2C",'Mapa final'!$O$18),"")</f>
        <v/>
      </c>
      <c r="AE7" s="67" t="str">
        <f>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IF(AND('Mapa final'!$Y$16="Muy Alta",'Mapa final'!$AA$16="Catastrófico"),CONCATENATE("R2C",'Mapa final'!$O$16),"")</f>
        <v/>
      </c>
      <c r="AI7" s="70" t="str">
        <f>IF(AND('Mapa final'!$Y$17="Muy Alta",'Mapa final'!$AA$17="Catastrófico"),CONCATENATE("R2C",'Mapa final'!$O$17),"")</f>
        <v/>
      </c>
      <c r="AJ7" s="70" t="str">
        <f>IF(AND('Mapa final'!$Y$18="Muy Alta",'Mapa final'!$AA$18="Catastrófico"),CONCATENATE("R2C",'Mapa final'!$O$18),"")</f>
        <v/>
      </c>
      <c r="AK7" s="70" t="str">
        <f>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82"/>
      <c r="AP7" s="383"/>
      <c r="AQ7" s="383"/>
      <c r="AR7" s="383"/>
      <c r="AS7" s="383"/>
      <c r="AT7" s="384"/>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321"/>
      <c r="C8" s="321"/>
      <c r="D8" s="322"/>
      <c r="E8" s="362"/>
      <c r="F8" s="363"/>
      <c r="G8" s="363"/>
      <c r="H8" s="363"/>
      <c r="I8" s="364"/>
      <c r="J8" s="66" t="str">
        <f>IF(AND('Mapa final'!$Y$22="Muy Alta",'Mapa final'!$AA$22="Leve"),CONCATENATE("R3C",'Mapa final'!$O$22),"")</f>
        <v/>
      </c>
      <c r="K8" s="67" t="str">
        <f>IF(AND('Mapa final'!$Y$23="Muy Alta",'Mapa final'!$AA$23="Leve"),CONCATENATE("R3C",'Mapa final'!$O$23),"")</f>
        <v/>
      </c>
      <c r="L8" s="67" t="str">
        <f>IF(AND('Mapa final'!$Y$24="Muy Alta",'Mapa final'!$AA$24="Leve"),CONCATENATE("R3C",'Mapa final'!$O$24),"")</f>
        <v/>
      </c>
      <c r="M8" s="67" t="str">
        <f>IF(AND('Mapa final'!$Y$25="Muy Alta",'Mapa final'!$AA$25="Leve"),CONCATENATE("R3C",'Mapa final'!$O$25),"")</f>
        <v/>
      </c>
      <c r="N8" s="67" t="str">
        <f>IF(AND('Mapa final'!$Y$26="Muy Alta",'Mapa final'!$AA$26="Leve"),CONCATENATE("R3C",'Mapa final'!$O$26),"")</f>
        <v/>
      </c>
      <c r="O8" s="68" t="str">
        <f>IF(AND('Mapa final'!$Y$27="Muy Alta",'Mapa final'!$AA$27="Leve"),CONCATENATE("R3C",'Mapa final'!$O$27),"")</f>
        <v/>
      </c>
      <c r="P8" s="66" t="str">
        <f>IF(AND('Mapa final'!$Y$22="Muy Alta",'Mapa final'!$AA$22="Menor"),CONCATENATE("R3C",'Mapa final'!$O$22),"")</f>
        <v/>
      </c>
      <c r="Q8" s="67" t="str">
        <f>IF(AND('Mapa final'!$Y$23="Muy Alta",'Mapa final'!$AA$23="Menor"),CONCATENATE("R3C",'Mapa final'!$O$23),"")</f>
        <v/>
      </c>
      <c r="R8" s="67" t="str">
        <f>IF(AND('Mapa final'!$Y$24="Muy Alta",'Mapa final'!$AA$24="Menor"),CONCATENATE("R3C",'Mapa final'!$O$24),"")</f>
        <v/>
      </c>
      <c r="S8" s="67" t="str">
        <f>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IF(AND('Mapa final'!$Y$22="Muy Alta",'Mapa final'!$AA$22="Moderado"),CONCATENATE("R3C",'Mapa final'!$O$22),"")</f>
        <v/>
      </c>
      <c r="W8" s="67" t="str">
        <f>IF(AND('Mapa final'!$Y$23="Muy Alta",'Mapa final'!$AA$23="Moderado"),CONCATENATE("R3C",'Mapa final'!$O$23),"")</f>
        <v/>
      </c>
      <c r="X8" s="67" t="str">
        <f>IF(AND('Mapa final'!$Y$24="Muy Alta",'Mapa final'!$AA$24="Moderado"),CONCATENATE("R3C",'Mapa final'!$O$24),"")</f>
        <v/>
      </c>
      <c r="Y8" s="67" t="str">
        <f>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IF(AND('Mapa final'!$Y$22="Muy Alta",'Mapa final'!$AA$22="Mayor"),CONCATENATE("R3C",'Mapa final'!$O$22),"")</f>
        <v/>
      </c>
      <c r="AC8" s="67" t="str">
        <f>IF(AND('Mapa final'!$Y$23="Muy Alta",'Mapa final'!$AA$23="Mayor"),CONCATENATE("R3C",'Mapa final'!$O$23),"")</f>
        <v/>
      </c>
      <c r="AD8" s="67" t="str">
        <f>IF(AND('Mapa final'!$Y$24="Muy Alta",'Mapa final'!$AA$24="Mayor"),CONCATENATE("R3C",'Mapa final'!$O$24),"")</f>
        <v/>
      </c>
      <c r="AE8" s="67" t="str">
        <f>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IF(AND('Mapa final'!$Y$22="Muy Alta",'Mapa final'!$AA$22="Catastrófico"),CONCATENATE("R3C",'Mapa final'!$O$22),"")</f>
        <v/>
      </c>
      <c r="AI8" s="70" t="str">
        <f>IF(AND('Mapa final'!$Y$23="Muy Alta",'Mapa final'!$AA$23="Catastrófico"),CONCATENATE("R3C",'Mapa final'!$O$23),"")</f>
        <v/>
      </c>
      <c r="AJ8" s="70" t="str">
        <f>IF(AND('Mapa final'!$Y$24="Muy Alta",'Mapa final'!$AA$24="Catastrófico"),CONCATENATE("R3C",'Mapa final'!$O$24),"")</f>
        <v/>
      </c>
      <c r="AK8" s="70" t="str">
        <f>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82"/>
      <c r="AP8" s="383"/>
      <c r="AQ8" s="383"/>
      <c r="AR8" s="383"/>
      <c r="AS8" s="383"/>
      <c r="AT8" s="384"/>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321"/>
      <c r="C9" s="321"/>
      <c r="D9" s="322"/>
      <c r="E9" s="362"/>
      <c r="F9" s="363"/>
      <c r="G9" s="363"/>
      <c r="H9" s="363"/>
      <c r="I9" s="364"/>
      <c r="J9" s="66" t="str">
        <f>IF(AND('Mapa final'!$Y$28="Muy Alta",'Mapa final'!$AA$28="Leve"),CONCATENATE("R4C",'Mapa final'!$O$28),"")</f>
        <v/>
      </c>
      <c r="K9" s="67" t="str">
        <f>IF(AND('Mapa final'!$Y$29="Muy Alta",'Mapa final'!$AA$29="Leve"),CONCATENATE("R4C",'Mapa final'!$O$29),"")</f>
        <v/>
      </c>
      <c r="L9" s="67" t="str">
        <f>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IF(AND('Mapa final'!$Y$28="Muy Alta",'Mapa final'!$AA$28="Menor"),CONCATENATE("R4C",'Mapa final'!$O$28),"")</f>
        <v/>
      </c>
      <c r="Q9" s="67" t="str">
        <f>IF(AND('Mapa final'!$Y$29="Muy Alta",'Mapa final'!$AA$29="Menor"),CONCATENATE("R4C",'Mapa final'!$O$29),"")</f>
        <v/>
      </c>
      <c r="R9" s="67" t="str">
        <f>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IF(AND('Mapa final'!$Y$28="Muy Alta",'Mapa final'!$AA$28="Moderado"),CONCATENATE("R4C",'Mapa final'!$O$28),"")</f>
        <v/>
      </c>
      <c r="W9" s="67" t="str">
        <f>IF(AND('Mapa final'!$Y$29="Muy Alta",'Mapa final'!$AA$29="Moderado"),CONCATENATE("R4C",'Mapa final'!$O$29),"")</f>
        <v/>
      </c>
      <c r="X9" s="67" t="str">
        <f>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IF(AND('Mapa final'!$Y$28="Muy Alta",'Mapa final'!$AA$28="Mayor"),CONCATENATE("R4C",'Mapa final'!$O$28),"")</f>
        <v/>
      </c>
      <c r="AC9" s="67" t="str">
        <f>IF(AND('Mapa final'!$Y$29="Muy Alta",'Mapa final'!$AA$29="Mayor"),CONCATENATE("R4C",'Mapa final'!$O$29),"")</f>
        <v/>
      </c>
      <c r="AD9" s="67" t="str">
        <f>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IF(AND('Mapa final'!$Y$28="Muy Alta",'Mapa final'!$AA$28="Catastrófico"),CONCATENATE("R4C",'Mapa final'!$O$28),"")</f>
        <v/>
      </c>
      <c r="AI9" s="70" t="str">
        <f>IF(AND('Mapa final'!$Y$29="Muy Alta",'Mapa final'!$AA$29="Catastrófico"),CONCATENATE("R4C",'Mapa final'!$O$29),"")</f>
        <v/>
      </c>
      <c r="AJ9" s="70" t="str">
        <f>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82"/>
      <c r="AP9" s="383"/>
      <c r="AQ9" s="383"/>
      <c r="AR9" s="383"/>
      <c r="AS9" s="383"/>
      <c r="AT9" s="384"/>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321"/>
      <c r="C10" s="321"/>
      <c r="D10" s="322"/>
      <c r="E10" s="362"/>
      <c r="F10" s="363"/>
      <c r="G10" s="363"/>
      <c r="H10" s="363"/>
      <c r="I10" s="364"/>
      <c r="J10" s="66" t="str">
        <f>IF(AND('Mapa final'!$Y$34="Muy Alta",'Mapa final'!$AA$34="Leve"),CONCATENATE("R5C",'Mapa final'!$O$34),"")</f>
        <v/>
      </c>
      <c r="K10" s="67" t="str">
        <f>IF(AND('Mapa final'!$Y$35="Muy Alta",'Mapa final'!$AA$35="Leve"),CONCATENATE("R5C",'Mapa final'!$O$35),"")</f>
        <v/>
      </c>
      <c r="L10" s="67" t="str">
        <f>IF(AND('Mapa final'!$Y$36="Muy Alta",'Mapa final'!$AA$36="Leve"),CONCATENATE("R5C",'Mapa final'!$O$36),"")</f>
        <v/>
      </c>
      <c r="M10" s="67" t="str">
        <f>IF(AND('Mapa final'!$Y$37="Muy Alta",'Mapa final'!$AA$37="Leve"),CONCATENATE("R5C",'Mapa final'!$O$37),"")</f>
        <v/>
      </c>
      <c r="N10" s="67" t="str">
        <f>IF(AND('Mapa final'!$Y$38="Muy Alta",'Mapa final'!$AA$38="Leve"),CONCATENATE("R5C",'Mapa final'!$O$38),"")</f>
        <v/>
      </c>
      <c r="O10" s="68" t="str">
        <f>IF(AND('Mapa final'!$Y$39="Muy Alta",'Mapa final'!$AA$39="Leve"),CONCATENATE("R5C",'Mapa final'!$O$39),"")</f>
        <v/>
      </c>
      <c r="P10" s="66" t="str">
        <f>IF(AND('Mapa final'!$Y$34="Muy Alta",'Mapa final'!$AA$34="Menor"),CONCATENATE("R5C",'Mapa final'!$O$34),"")</f>
        <v/>
      </c>
      <c r="Q10" s="67" t="str">
        <f>IF(AND('Mapa final'!$Y$35="Muy Alta",'Mapa final'!$AA$35="Menor"),CONCATENATE("R5C",'Mapa final'!$O$35),"")</f>
        <v/>
      </c>
      <c r="R10" s="67" t="str">
        <f>IF(AND('Mapa final'!$Y$36="Muy Alta",'Mapa final'!$AA$36="Menor"),CONCATENATE("R5C",'Mapa final'!$O$36),"")</f>
        <v/>
      </c>
      <c r="S10" s="67" t="str">
        <f>IF(AND('Mapa final'!$Y$37="Muy Alta",'Mapa final'!$AA$37="Menor"),CONCATENATE("R5C",'Mapa final'!$O$37),"")</f>
        <v/>
      </c>
      <c r="T10" s="67" t="str">
        <f>IF(AND('Mapa final'!$Y$38="Muy Alta",'Mapa final'!$AA$38="Menor"),CONCATENATE("R5C",'Mapa final'!$O$38),"")</f>
        <v/>
      </c>
      <c r="U10" s="68" t="str">
        <f>IF(AND('Mapa final'!$Y$39="Muy Alta",'Mapa final'!$AA$39="Menor"),CONCATENATE("R5C",'Mapa final'!$O$39),"")</f>
        <v/>
      </c>
      <c r="V10" s="66" t="str">
        <f>IF(AND('Mapa final'!$Y$34="Muy Alta",'Mapa final'!$AA$34="Moderado"),CONCATENATE("R5C",'Mapa final'!$O$34),"")</f>
        <v/>
      </c>
      <c r="W10" s="67" t="str">
        <f>IF(AND('Mapa final'!$Y$35="Muy Alta",'Mapa final'!$AA$35="Moderado"),CONCATENATE("R5C",'Mapa final'!$O$35),"")</f>
        <v/>
      </c>
      <c r="X10" s="67" t="str">
        <f>IF(AND('Mapa final'!$Y$36="Muy Alta",'Mapa final'!$AA$36="Moderado"),CONCATENATE("R5C",'Mapa final'!$O$36),"")</f>
        <v/>
      </c>
      <c r="Y10" s="67" t="str">
        <f>IF(AND('Mapa final'!$Y$37="Muy Alta",'Mapa final'!$AA$37="Moderado"),CONCATENATE("R5C",'Mapa final'!$O$37),"")</f>
        <v/>
      </c>
      <c r="Z10" s="67" t="str">
        <f>IF(AND('Mapa final'!$Y$38="Muy Alta",'Mapa final'!$AA$38="Moderado"),CONCATENATE("R5C",'Mapa final'!$O$38),"")</f>
        <v/>
      </c>
      <c r="AA10" s="68" t="str">
        <f>IF(AND('Mapa final'!$Y$39="Muy Alta",'Mapa final'!$AA$39="Moderado"),CONCATENATE("R5C",'Mapa final'!$O$39),"")</f>
        <v/>
      </c>
      <c r="AB10" s="66" t="str">
        <f>IF(AND('Mapa final'!$Y$34="Muy Alta",'Mapa final'!$AA$34="Mayor"),CONCATENATE("R5C",'Mapa final'!$O$34),"")</f>
        <v/>
      </c>
      <c r="AC10" s="67" t="str">
        <f>IF(AND('Mapa final'!$Y$35="Muy Alta",'Mapa final'!$AA$35="Mayor"),CONCATENATE("R5C",'Mapa final'!$O$35),"")</f>
        <v/>
      </c>
      <c r="AD10" s="67" t="str">
        <f>IF(AND('Mapa final'!$Y$36="Muy Alta",'Mapa final'!$AA$36="Mayor"),CONCATENATE("R5C",'Mapa final'!$O$36),"")</f>
        <v/>
      </c>
      <c r="AE10" s="67" t="str">
        <f>IF(AND('Mapa final'!$Y$37="Muy Alta",'Mapa final'!$AA$37="Mayor"),CONCATENATE("R5C",'Mapa final'!$O$37),"")</f>
        <v/>
      </c>
      <c r="AF10" s="67" t="str">
        <f>IF(AND('Mapa final'!$Y$38="Muy Alta",'Mapa final'!$AA$38="Mayor"),CONCATENATE("R5C",'Mapa final'!$O$38),"")</f>
        <v/>
      </c>
      <c r="AG10" s="68" t="str">
        <f>IF(AND('Mapa final'!$Y$39="Muy Alta",'Mapa final'!$AA$39="Mayor"),CONCATENATE("R5C",'Mapa final'!$O$39),"")</f>
        <v/>
      </c>
      <c r="AH10" s="69" t="str">
        <f>IF(AND('Mapa final'!$Y$34="Muy Alta",'Mapa final'!$AA$34="Catastrófico"),CONCATENATE("R5C",'Mapa final'!$O$34),"")</f>
        <v/>
      </c>
      <c r="AI10" s="70" t="str">
        <f>IF(AND('Mapa final'!$Y$35="Muy Alta",'Mapa final'!$AA$35="Catastrófico"),CONCATENATE("R5C",'Mapa final'!$O$35),"")</f>
        <v/>
      </c>
      <c r="AJ10" s="70" t="str">
        <f>IF(AND('Mapa final'!$Y$36="Muy Alta",'Mapa final'!$AA$36="Catastrófico"),CONCATENATE("R5C",'Mapa final'!$O$36),"")</f>
        <v/>
      </c>
      <c r="AK10" s="70" t="str">
        <f>IF(AND('Mapa final'!$Y$37="Muy Alta",'Mapa final'!$AA$37="Catastrófico"),CONCATENATE("R5C",'Mapa final'!$O$37),"")</f>
        <v/>
      </c>
      <c r="AL10" s="70" t="str">
        <f>IF(AND('Mapa final'!$Y$38="Muy Alta",'Mapa final'!$AA$38="Catastrófico"),CONCATENATE("R5C",'Mapa final'!$O$38),"")</f>
        <v/>
      </c>
      <c r="AM10" s="71" t="str">
        <f>IF(AND('Mapa final'!$Y$39="Muy Alta",'Mapa final'!$AA$39="Catastrófico"),CONCATENATE("R5C",'Mapa final'!$O$39),"")</f>
        <v/>
      </c>
      <c r="AN10" s="97"/>
      <c r="AO10" s="382"/>
      <c r="AP10" s="383"/>
      <c r="AQ10" s="383"/>
      <c r="AR10" s="383"/>
      <c r="AS10" s="383"/>
      <c r="AT10" s="384"/>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321"/>
      <c r="C11" s="321"/>
      <c r="D11" s="322"/>
      <c r="E11" s="362"/>
      <c r="F11" s="363"/>
      <c r="G11" s="363"/>
      <c r="H11" s="363"/>
      <c r="I11" s="364"/>
      <c r="J11" s="66" t="str">
        <f>IF(AND('Mapa final'!$Y$40="Muy Alta",'Mapa final'!$AA$40="Leve"),CONCATENATE("R6C",'Mapa final'!$O$40),"")</f>
        <v/>
      </c>
      <c r="K11" s="67" t="str">
        <f>IF(AND('Mapa final'!$Y$41="Muy Alta",'Mapa final'!$AA$41="Leve"),CONCATENATE("R6C",'Mapa final'!$O$41),"")</f>
        <v/>
      </c>
      <c r="L11" s="67" t="str">
        <f>IF(AND('Mapa final'!$Y$42="Muy Alta",'Mapa final'!$AA$42="Leve"),CONCATENATE("R6C",'Mapa final'!$O$42),"")</f>
        <v/>
      </c>
      <c r="M11" s="67" t="str">
        <f>IF(AND('Mapa final'!$Y$43="Muy Alta",'Mapa final'!$AA$43="Leve"),CONCATENATE("R6C",'Mapa final'!$O$43),"")</f>
        <v/>
      </c>
      <c r="N11" s="67" t="str">
        <f>IF(AND('Mapa final'!$Y$44="Muy Alta",'Mapa final'!$AA$44="Leve"),CONCATENATE("R6C",'Mapa final'!$O$44),"")</f>
        <v/>
      </c>
      <c r="O11" s="68" t="str">
        <f>IF(AND('Mapa final'!$Y$45="Muy Alta",'Mapa final'!$AA$45="Leve"),CONCATENATE("R6C",'Mapa final'!$O$45),"")</f>
        <v/>
      </c>
      <c r="P11" s="66" t="str">
        <f>IF(AND('Mapa final'!$Y$40="Muy Alta",'Mapa final'!$AA$40="Menor"),CONCATENATE("R6C",'Mapa final'!$O$40),"")</f>
        <v/>
      </c>
      <c r="Q11" s="67" t="str">
        <f>IF(AND('Mapa final'!$Y$41="Muy Alta",'Mapa final'!$AA$41="Menor"),CONCATENATE("R6C",'Mapa final'!$O$41),"")</f>
        <v/>
      </c>
      <c r="R11" s="67" t="str">
        <f>IF(AND('Mapa final'!$Y$42="Muy Alta",'Mapa final'!$AA$42="Menor"),CONCATENATE("R6C",'Mapa final'!$O$42),"")</f>
        <v/>
      </c>
      <c r="S11" s="67" t="str">
        <f>IF(AND('Mapa final'!$Y$43="Muy Alta",'Mapa final'!$AA$43="Menor"),CONCATENATE("R6C",'Mapa final'!$O$43),"")</f>
        <v/>
      </c>
      <c r="T11" s="67" t="str">
        <f>IF(AND('Mapa final'!$Y$44="Muy Alta",'Mapa final'!$AA$44="Menor"),CONCATENATE("R6C",'Mapa final'!$O$44),"")</f>
        <v/>
      </c>
      <c r="U11" s="68" t="str">
        <f>IF(AND('Mapa final'!$Y$45="Muy Alta",'Mapa final'!$AA$45="Menor"),CONCATENATE("R6C",'Mapa final'!$O$45),"")</f>
        <v/>
      </c>
      <c r="V11" s="66" t="str">
        <f>IF(AND('Mapa final'!$Y$40="Muy Alta",'Mapa final'!$AA$40="Moderado"),CONCATENATE("R6C",'Mapa final'!$O$40),"")</f>
        <v/>
      </c>
      <c r="W11" s="67" t="str">
        <f>IF(AND('Mapa final'!$Y$41="Muy Alta",'Mapa final'!$AA$41="Moderado"),CONCATENATE("R6C",'Mapa final'!$O$41),"")</f>
        <v/>
      </c>
      <c r="X11" s="67" t="str">
        <f>IF(AND('Mapa final'!$Y$42="Muy Alta",'Mapa final'!$AA$42="Moderado"),CONCATENATE("R6C",'Mapa final'!$O$42),"")</f>
        <v/>
      </c>
      <c r="Y11" s="67" t="str">
        <f>IF(AND('Mapa final'!$Y$43="Muy Alta",'Mapa final'!$AA$43="Moderado"),CONCATENATE("R6C",'Mapa final'!$O$43),"")</f>
        <v/>
      </c>
      <c r="Z11" s="67" t="str">
        <f>IF(AND('Mapa final'!$Y$44="Muy Alta",'Mapa final'!$AA$44="Moderado"),CONCATENATE("R6C",'Mapa final'!$O$44),"")</f>
        <v/>
      </c>
      <c r="AA11" s="68" t="str">
        <f>IF(AND('Mapa final'!$Y$45="Muy Alta",'Mapa final'!$AA$45="Moderado"),CONCATENATE("R6C",'Mapa final'!$O$45),"")</f>
        <v/>
      </c>
      <c r="AB11" s="66" t="str">
        <f>IF(AND('Mapa final'!$Y$40="Muy Alta",'Mapa final'!$AA$40="Mayor"),CONCATENATE("R6C",'Mapa final'!$O$40),"")</f>
        <v/>
      </c>
      <c r="AC11" s="67" t="str">
        <f>IF(AND('Mapa final'!$Y$41="Muy Alta",'Mapa final'!$AA$41="Mayor"),CONCATENATE("R6C",'Mapa final'!$O$41),"")</f>
        <v/>
      </c>
      <c r="AD11" s="67" t="str">
        <f>IF(AND('Mapa final'!$Y$42="Muy Alta",'Mapa final'!$AA$42="Mayor"),CONCATENATE("R6C",'Mapa final'!$O$42),"")</f>
        <v/>
      </c>
      <c r="AE11" s="67" t="str">
        <f>IF(AND('Mapa final'!$Y$43="Muy Alta",'Mapa final'!$AA$43="Mayor"),CONCATENATE("R6C",'Mapa final'!$O$43),"")</f>
        <v/>
      </c>
      <c r="AF11" s="67" t="str">
        <f>IF(AND('Mapa final'!$Y$44="Muy Alta",'Mapa final'!$AA$44="Mayor"),CONCATENATE("R6C",'Mapa final'!$O$44),"")</f>
        <v/>
      </c>
      <c r="AG11" s="68" t="str">
        <f>IF(AND('Mapa final'!$Y$45="Muy Alta",'Mapa final'!$AA$45="Mayor"),CONCATENATE("R6C",'Mapa final'!$O$45),"")</f>
        <v/>
      </c>
      <c r="AH11" s="69" t="str">
        <f>IF(AND('Mapa final'!$Y$40="Muy Alta",'Mapa final'!$AA$40="Catastrófico"),CONCATENATE("R6C",'Mapa final'!$O$40),"")</f>
        <v/>
      </c>
      <c r="AI11" s="70" t="str">
        <f>IF(AND('Mapa final'!$Y$41="Muy Alta",'Mapa final'!$AA$41="Catastrófico"),CONCATENATE("R6C",'Mapa final'!$O$41),"")</f>
        <v/>
      </c>
      <c r="AJ11" s="70" t="str">
        <f>IF(AND('Mapa final'!$Y$42="Muy Alta",'Mapa final'!$AA$42="Catastrófico"),CONCATENATE("R6C",'Mapa final'!$O$42),"")</f>
        <v/>
      </c>
      <c r="AK11" s="70" t="str">
        <f>IF(AND('Mapa final'!$Y$43="Muy Alta",'Mapa final'!$AA$43="Catastrófico"),CONCATENATE("R6C",'Mapa final'!$O$43),"")</f>
        <v/>
      </c>
      <c r="AL11" s="70" t="str">
        <f>IF(AND('Mapa final'!$Y$44="Muy Alta",'Mapa final'!$AA$44="Catastrófico"),CONCATENATE("R6C",'Mapa final'!$O$44),"")</f>
        <v/>
      </c>
      <c r="AM11" s="71" t="str">
        <f>IF(AND('Mapa final'!$Y$45="Muy Alta",'Mapa final'!$AA$45="Catastrófico"),CONCATENATE("R6C",'Mapa final'!$O$45),"")</f>
        <v/>
      </c>
      <c r="AN11" s="97"/>
      <c r="AO11" s="382"/>
      <c r="AP11" s="383"/>
      <c r="AQ11" s="383"/>
      <c r="AR11" s="383"/>
      <c r="AS11" s="383"/>
      <c r="AT11" s="384"/>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321"/>
      <c r="C12" s="321"/>
      <c r="D12" s="322"/>
      <c r="E12" s="362"/>
      <c r="F12" s="363"/>
      <c r="G12" s="363"/>
      <c r="H12" s="363"/>
      <c r="I12" s="364"/>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82"/>
      <c r="AP12" s="383"/>
      <c r="AQ12" s="383"/>
      <c r="AR12" s="383"/>
      <c r="AS12" s="383"/>
      <c r="AT12" s="384"/>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321"/>
      <c r="C13" s="321"/>
      <c r="D13" s="322"/>
      <c r="E13" s="362"/>
      <c r="F13" s="363"/>
      <c r="G13" s="363"/>
      <c r="H13" s="363"/>
      <c r="I13" s="364"/>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82"/>
      <c r="AP13" s="383"/>
      <c r="AQ13" s="383"/>
      <c r="AR13" s="383"/>
      <c r="AS13" s="383"/>
      <c r="AT13" s="384"/>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321"/>
      <c r="C14" s="321"/>
      <c r="D14" s="322"/>
      <c r="E14" s="362"/>
      <c r="F14" s="363"/>
      <c r="G14" s="363"/>
      <c r="H14" s="363"/>
      <c r="I14" s="364"/>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82"/>
      <c r="AP14" s="383"/>
      <c r="AQ14" s="383"/>
      <c r="AR14" s="383"/>
      <c r="AS14" s="383"/>
      <c r="AT14" s="384"/>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321"/>
      <c r="C15" s="321"/>
      <c r="D15" s="322"/>
      <c r="E15" s="365"/>
      <c r="F15" s="366"/>
      <c r="G15" s="366"/>
      <c r="H15" s="366"/>
      <c r="I15" s="367"/>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85"/>
      <c r="AP15" s="386"/>
      <c r="AQ15" s="386"/>
      <c r="AR15" s="386"/>
      <c r="AS15" s="386"/>
      <c r="AT15" s="38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321"/>
      <c r="C16" s="321"/>
      <c r="D16" s="322"/>
      <c r="E16" s="359" t="s">
        <v>115</v>
      </c>
      <c r="F16" s="360"/>
      <c r="G16" s="360"/>
      <c r="H16" s="360"/>
      <c r="I16" s="360"/>
      <c r="J16" s="78" t="str">
        <f>IF(AND('Mapa final'!$Y$10="Alta",'Mapa final'!$AA$10="Leve"),CONCATENATE("R1C",'Mapa final'!$O$10),"")</f>
        <v/>
      </c>
      <c r="K16" s="79" t="str">
        <f>IF(AND('Mapa final'!$Y$11="Alta",'Mapa final'!$AA$11="Leve"),CONCATENATE("R1C",'Mapa final'!$O$11),"")</f>
        <v/>
      </c>
      <c r="L16" s="79" t="str">
        <f>IF(AND('Mapa final'!$Y$12="Alta",'Mapa final'!$AA$12="Leve"),CONCATENATE("R1C",'Mapa final'!$O$12),"")</f>
        <v/>
      </c>
      <c r="M16" s="79" t="str">
        <f>IF(AND('Mapa final'!$Y$13="Alta",'Mapa final'!$AA$13="Leve"),CONCATENATE("R1C",'Mapa final'!$O$13),"")</f>
        <v/>
      </c>
      <c r="N16" s="79" t="str">
        <f>IF(AND('Mapa final'!$Y$14="Alta",'Mapa final'!$AA$14="Leve"),CONCATENATE("R1C",'Mapa final'!$O$14),"")</f>
        <v/>
      </c>
      <c r="O16" s="80" t="str">
        <f>IF(AND('Mapa final'!$Y$15="Alta",'Mapa final'!$AA$15="Leve"),CONCATENATE("R1C",'Mapa final'!$O$15),"")</f>
        <v/>
      </c>
      <c r="P16" s="78" t="str">
        <f>IF(AND('Mapa final'!$Y$10="Alta",'Mapa final'!$AA$10="Menor"),CONCATENATE("R1C",'Mapa final'!$O$10),"")</f>
        <v/>
      </c>
      <c r="Q16" s="79" t="str">
        <f>IF(AND('Mapa final'!$Y$11="Alta",'Mapa final'!$AA$11="Menor"),CONCATENATE("R1C",'Mapa final'!$O$11),"")</f>
        <v/>
      </c>
      <c r="R16" s="79" t="str">
        <f>IF(AND('Mapa final'!$Y$12="Alta",'Mapa final'!$AA$12="Menor"),CONCATENATE("R1C",'Mapa final'!$O$12),"")</f>
        <v/>
      </c>
      <c r="S16" s="79" t="str">
        <f>IF(AND('Mapa final'!$Y$13="Alta",'Mapa final'!$AA$13="Menor"),CONCATENATE("R1C",'Mapa final'!$O$13),"")</f>
        <v/>
      </c>
      <c r="T16" s="79" t="str">
        <f>IF(AND('Mapa final'!$Y$14="Alta",'Mapa final'!$AA$14="Menor"),CONCATENATE("R1C",'Mapa final'!$O$14),"")</f>
        <v/>
      </c>
      <c r="U16" s="80" t="str">
        <f>IF(AND('Mapa final'!$Y$15="Alta",'Mapa final'!$AA$15="Menor"),CONCATENATE("R1C",'Mapa final'!$O$15),"")</f>
        <v/>
      </c>
      <c r="V16" s="60" t="str">
        <f>IF(AND('Mapa final'!$Y$10="Alta",'Mapa final'!$AA$10="Moderado"),CONCATENATE("R1C",'Mapa final'!$O$10),"")</f>
        <v/>
      </c>
      <c r="W16" s="61" t="str">
        <f>IF(AND('Mapa final'!$Y$11="Alta",'Mapa final'!$AA$11="Moderado"),CONCATENATE("R1C",'Mapa final'!$O$11),"")</f>
        <v/>
      </c>
      <c r="X16" s="61" t="str">
        <f>IF(AND('Mapa final'!$Y$12="Alta",'Mapa final'!$AA$12="Moderado"),CONCATENATE("R1C",'Mapa final'!$O$12),"")</f>
        <v/>
      </c>
      <c r="Y16" s="61" t="str">
        <f>IF(AND('Mapa final'!$Y$13="Alta",'Mapa final'!$AA$13="Moderado"),CONCATENATE("R1C",'Mapa final'!$O$13),"")</f>
        <v/>
      </c>
      <c r="Z16" s="61" t="str">
        <f>IF(AND('Mapa final'!$Y$14="Alta",'Mapa final'!$AA$14="Moderado"),CONCATENATE("R1C",'Mapa final'!$O$14),"")</f>
        <v/>
      </c>
      <c r="AA16" s="62" t="str">
        <f>IF(AND('Mapa final'!$Y$15="Alta",'Mapa final'!$AA$15="Moderado"),CONCATENATE("R1C",'Mapa final'!$O$15),"")</f>
        <v/>
      </c>
      <c r="AB16" s="60" t="str">
        <f>IF(AND('Mapa final'!$Y$10="Alta",'Mapa final'!$AA$10="Mayor"),CONCATENATE("R1C",'Mapa final'!$O$10),"")</f>
        <v/>
      </c>
      <c r="AC16" s="61" t="str">
        <f>IF(AND('Mapa final'!$Y$11="Alta",'Mapa final'!$AA$11="Mayor"),CONCATENATE("R1C",'Mapa final'!$O$11),"")</f>
        <v/>
      </c>
      <c r="AD16" s="61" t="str">
        <f>IF(AND('Mapa final'!$Y$12="Alta",'Mapa final'!$AA$12="Mayor"),CONCATENATE("R1C",'Mapa final'!$O$12),"")</f>
        <v/>
      </c>
      <c r="AE16" s="61" t="str">
        <f>IF(AND('Mapa final'!$Y$13="Alta",'Mapa final'!$AA$13="Mayor"),CONCATENATE("R1C",'Mapa final'!$O$13),"")</f>
        <v/>
      </c>
      <c r="AF16" s="61" t="str">
        <f>IF(AND('Mapa final'!$Y$14="Alta",'Mapa final'!$AA$14="Mayor"),CONCATENATE("R1C",'Mapa final'!$O$14),"")</f>
        <v/>
      </c>
      <c r="AG16" s="62" t="str">
        <f>IF(AND('Mapa final'!$Y$15="Alta",'Mapa final'!$AA$15="Mayor"),CONCATENATE("R1C",'Mapa final'!$O$15),"")</f>
        <v/>
      </c>
      <c r="AH16" s="63" t="str">
        <f>IF(AND('Mapa final'!$Y$10="Alta",'Mapa final'!$AA$10="Catastrófico"),CONCATENATE("R1C",'Mapa final'!$O$10),"")</f>
        <v/>
      </c>
      <c r="AI16" s="64" t="str">
        <f>IF(AND('Mapa final'!$Y$11="Alta",'Mapa final'!$AA$11="Catastrófico"),CONCATENATE("R1C",'Mapa final'!$O$11),"")</f>
        <v/>
      </c>
      <c r="AJ16" s="64" t="str">
        <f>IF(AND('Mapa final'!$Y$12="Alta",'Mapa final'!$AA$12="Catastrófico"),CONCATENATE("R1C",'Mapa final'!$O$12),"")</f>
        <v/>
      </c>
      <c r="AK16" s="64" t="str">
        <f>IF(AND('Mapa final'!$Y$13="Alta",'Mapa final'!$AA$13="Catastrófico"),CONCATENATE("R1C",'Mapa final'!$O$13),"")</f>
        <v/>
      </c>
      <c r="AL16" s="64" t="str">
        <f>IF(AND('Mapa final'!$Y$14="Alta",'Mapa final'!$AA$14="Catastrófico"),CONCATENATE("R1C",'Mapa final'!$O$14),"")</f>
        <v/>
      </c>
      <c r="AM16" s="65" t="str">
        <f>IF(AND('Mapa final'!$Y$15="Alta",'Mapa final'!$AA$15="Catastrófico"),CONCATENATE("R1C",'Mapa final'!$O$15),"")</f>
        <v/>
      </c>
      <c r="AN16" s="97"/>
      <c r="AO16" s="369" t="s">
        <v>80</v>
      </c>
      <c r="AP16" s="370"/>
      <c r="AQ16" s="370"/>
      <c r="AR16" s="370"/>
      <c r="AS16" s="370"/>
      <c r="AT16" s="371"/>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321"/>
      <c r="C17" s="321"/>
      <c r="D17" s="322"/>
      <c r="E17" s="378"/>
      <c r="F17" s="363"/>
      <c r="G17" s="363"/>
      <c r="H17" s="363"/>
      <c r="I17" s="363"/>
      <c r="J17" s="81" t="str">
        <f>IF(AND('Mapa final'!$Y$16="Alta",'Mapa final'!$AA$16="Leve"),CONCATENATE("R2C",'Mapa final'!$O$16),"")</f>
        <v/>
      </c>
      <c r="K17" s="82" t="str">
        <f>IF(AND('Mapa final'!$Y$17="Alta",'Mapa final'!$AA$17="Leve"),CONCATENATE("R2C",'Mapa final'!$O$17),"")</f>
        <v/>
      </c>
      <c r="L17" s="82" t="str">
        <f>IF(AND('Mapa final'!$Y$18="Alta",'Mapa final'!$AA$18="Leve"),CONCATENATE("R2C",'Mapa final'!$O$18),"")</f>
        <v/>
      </c>
      <c r="M17" s="82" t="str">
        <f>IF(AND('Mapa final'!$Y$19="Alta",'Mapa final'!$AA$19="Leve"),CONCATENATE("R2C",'Mapa final'!$O$19),"")</f>
        <v/>
      </c>
      <c r="N17" s="82" t="str">
        <f>IF(AND('Mapa final'!$Y$20="Alta",'Mapa final'!$AA$20="Leve"),CONCATENATE("R2C",'Mapa final'!$O$20),"")</f>
        <v/>
      </c>
      <c r="O17" s="83" t="str">
        <f>IF(AND('Mapa final'!$Y$21="Alta",'Mapa final'!$AA$21="Leve"),CONCATENATE("R2C",'Mapa final'!$O$21),"")</f>
        <v/>
      </c>
      <c r="P17" s="81" t="str">
        <f>IF(AND('Mapa final'!$Y$16="Alta",'Mapa final'!$AA$16="Menor"),CONCATENATE("R2C",'Mapa final'!$O$16),"")</f>
        <v/>
      </c>
      <c r="Q17" s="82" t="str">
        <f>IF(AND('Mapa final'!$Y$17="Alta",'Mapa final'!$AA$17="Menor"),CONCATENATE("R2C",'Mapa final'!$O$17),"")</f>
        <v/>
      </c>
      <c r="R17" s="82" t="str">
        <f>IF(AND('Mapa final'!$Y$18="Alta",'Mapa final'!$AA$18="Menor"),CONCATENATE("R2C",'Mapa final'!$O$18),"")</f>
        <v/>
      </c>
      <c r="S17" s="82" t="str">
        <f>IF(AND('Mapa final'!$Y$19="Alta",'Mapa final'!$AA$19="Menor"),CONCATENATE("R2C",'Mapa final'!$O$19),"")</f>
        <v/>
      </c>
      <c r="T17" s="82" t="str">
        <f>IF(AND('Mapa final'!$Y$20="Alta",'Mapa final'!$AA$20="Menor"),CONCATENATE("R2C",'Mapa final'!$O$20),"")</f>
        <v/>
      </c>
      <c r="U17" s="83" t="str">
        <f>IF(AND('Mapa final'!$Y$21="Alta",'Mapa final'!$AA$21="Menor"),CONCATENATE("R2C",'Mapa final'!$O$21),"")</f>
        <v/>
      </c>
      <c r="V17" s="66" t="str">
        <f>IF(AND('Mapa final'!$Y$16="Alta",'Mapa final'!$AA$16="Moderado"),CONCATENATE("R2C",'Mapa final'!$O$16),"")</f>
        <v/>
      </c>
      <c r="W17" s="67" t="str">
        <f>IF(AND('Mapa final'!$Y$17="Alta",'Mapa final'!$AA$17="Moderado"),CONCATENATE("R2C",'Mapa final'!$O$17),"")</f>
        <v/>
      </c>
      <c r="X17" s="67" t="str">
        <f>IF(AND('Mapa final'!$Y$18="Alta",'Mapa final'!$AA$18="Moderado"),CONCATENATE("R2C",'Mapa final'!$O$18),"")</f>
        <v/>
      </c>
      <c r="Y17" s="67" t="str">
        <f>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IF(AND('Mapa final'!$Y$16="Alta",'Mapa final'!$AA$16="Mayor"),CONCATENATE("R2C",'Mapa final'!$O$16),"")</f>
        <v/>
      </c>
      <c r="AC17" s="67" t="str">
        <f>IF(AND('Mapa final'!$Y$17="Alta",'Mapa final'!$AA$17="Mayor"),CONCATENATE("R2C",'Mapa final'!$O$17),"")</f>
        <v/>
      </c>
      <c r="AD17" s="67" t="str">
        <f>IF(AND('Mapa final'!$Y$18="Alta",'Mapa final'!$AA$18="Mayor"),CONCATENATE("R2C",'Mapa final'!$O$18),"")</f>
        <v/>
      </c>
      <c r="AE17" s="67" t="str">
        <f>IF(AND('Mapa final'!$Y$19="Alta",'Mapa final'!$AA$19="Mayor"),CONCATENATE("R2C",'Mapa final'!$O$19),"")</f>
        <v/>
      </c>
      <c r="AF17" s="67" t="str">
        <f>IF(AND('Mapa final'!$Y$20="Alta",'Mapa final'!$AA$20="Mayor"),CONCATENATE("R2C",'Mapa final'!$O$20),"")</f>
        <v/>
      </c>
      <c r="AG17" s="68" t="str">
        <f>IF(AND('Mapa final'!$Y$21="Alta",'Mapa final'!$AA$21="Mayor"),CONCATENATE("R2C",'Mapa final'!$O$21),"")</f>
        <v/>
      </c>
      <c r="AH17" s="69" t="str">
        <f>IF(AND('Mapa final'!$Y$16="Alta",'Mapa final'!$AA$16="Catastrófico"),CONCATENATE("R2C",'Mapa final'!$O$16),"")</f>
        <v/>
      </c>
      <c r="AI17" s="70" t="str">
        <f>IF(AND('Mapa final'!$Y$17="Alta",'Mapa final'!$AA$17="Catastrófico"),CONCATENATE("R2C",'Mapa final'!$O$17),"")</f>
        <v/>
      </c>
      <c r="AJ17" s="70" t="str">
        <f>IF(AND('Mapa final'!$Y$18="Alta",'Mapa final'!$AA$18="Catastrófico"),CONCATENATE("R2C",'Mapa final'!$O$18),"")</f>
        <v/>
      </c>
      <c r="AK17" s="70" t="str">
        <f>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72"/>
      <c r="AP17" s="373"/>
      <c r="AQ17" s="373"/>
      <c r="AR17" s="373"/>
      <c r="AS17" s="373"/>
      <c r="AT17" s="374"/>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321"/>
      <c r="C18" s="321"/>
      <c r="D18" s="322"/>
      <c r="E18" s="362"/>
      <c r="F18" s="363"/>
      <c r="G18" s="363"/>
      <c r="H18" s="363"/>
      <c r="I18" s="363"/>
      <c r="J18" s="81" t="str">
        <f>IF(AND('Mapa final'!$Y$22="Alta",'Mapa final'!$AA$22="Leve"),CONCATENATE("R3C",'Mapa final'!$O$22),"")</f>
        <v/>
      </c>
      <c r="K18" s="82" t="str">
        <f>IF(AND('Mapa final'!$Y$23="Alta",'Mapa final'!$AA$23="Leve"),CONCATENATE("R3C",'Mapa final'!$O$23),"")</f>
        <v/>
      </c>
      <c r="L18" s="82" t="str">
        <f>IF(AND('Mapa final'!$Y$24="Alta",'Mapa final'!$AA$24="Leve"),CONCATENATE("R3C",'Mapa final'!$O$24),"")</f>
        <v/>
      </c>
      <c r="M18" s="82" t="str">
        <f>IF(AND('Mapa final'!$Y$25="Alta",'Mapa final'!$AA$25="Leve"),CONCATENATE("R3C",'Mapa final'!$O$25),"")</f>
        <v/>
      </c>
      <c r="N18" s="82" t="str">
        <f>IF(AND('Mapa final'!$Y$26="Alta",'Mapa final'!$AA$26="Leve"),CONCATENATE("R3C",'Mapa final'!$O$26),"")</f>
        <v/>
      </c>
      <c r="O18" s="83" t="str">
        <f>IF(AND('Mapa final'!$Y$27="Alta",'Mapa final'!$AA$27="Leve"),CONCATENATE("R3C",'Mapa final'!$O$27),"")</f>
        <v/>
      </c>
      <c r="P18" s="81" t="str">
        <f>IF(AND('Mapa final'!$Y$22="Alta",'Mapa final'!$AA$22="Menor"),CONCATENATE("R3C",'Mapa final'!$O$22),"")</f>
        <v/>
      </c>
      <c r="Q18" s="82" t="str">
        <f>IF(AND('Mapa final'!$Y$23="Alta",'Mapa final'!$AA$23="Menor"),CONCATENATE("R3C",'Mapa final'!$O$23),"")</f>
        <v/>
      </c>
      <c r="R18" s="82" t="str">
        <f>IF(AND('Mapa final'!$Y$24="Alta",'Mapa final'!$AA$24="Menor"),CONCATENATE("R3C",'Mapa final'!$O$24),"")</f>
        <v/>
      </c>
      <c r="S18" s="82" t="str">
        <f>IF(AND('Mapa final'!$Y$25="Alta",'Mapa final'!$AA$25="Menor"),CONCATENATE("R3C",'Mapa final'!$O$25),"")</f>
        <v/>
      </c>
      <c r="T18" s="82" t="str">
        <f>IF(AND('Mapa final'!$Y$26="Alta",'Mapa final'!$AA$26="Menor"),CONCATENATE("R3C",'Mapa final'!$O$26),"")</f>
        <v/>
      </c>
      <c r="U18" s="83" t="str">
        <f>IF(AND('Mapa final'!$Y$27="Alta",'Mapa final'!$AA$27="Menor"),CONCATENATE("R3C",'Mapa final'!$O$27),"")</f>
        <v/>
      </c>
      <c r="V18" s="66" t="str">
        <f>IF(AND('Mapa final'!$Y$22="Alta",'Mapa final'!$AA$22="Moderado"),CONCATENATE("R3C",'Mapa final'!$O$22),"")</f>
        <v/>
      </c>
      <c r="W18" s="67" t="str">
        <f>IF(AND('Mapa final'!$Y$23="Alta",'Mapa final'!$AA$23="Moderado"),CONCATENATE("R3C",'Mapa final'!$O$23),"")</f>
        <v/>
      </c>
      <c r="X18" s="67" t="str">
        <f>IF(AND('Mapa final'!$Y$24="Alta",'Mapa final'!$AA$24="Moderado"),CONCATENATE("R3C",'Mapa final'!$O$24),"")</f>
        <v/>
      </c>
      <c r="Y18" s="67" t="str">
        <f>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IF(AND('Mapa final'!$Y$22="Alta",'Mapa final'!$AA$22="Mayor"),CONCATENATE("R3C",'Mapa final'!$O$22),"")</f>
        <v/>
      </c>
      <c r="AC18" s="67" t="str">
        <f>IF(AND('Mapa final'!$Y$23="Alta",'Mapa final'!$AA$23="Mayor"),CONCATENATE("R3C",'Mapa final'!$O$23),"")</f>
        <v/>
      </c>
      <c r="AD18" s="67" t="str">
        <f>IF(AND('Mapa final'!$Y$24="Alta",'Mapa final'!$AA$24="Mayor"),CONCATENATE("R3C",'Mapa final'!$O$24),"")</f>
        <v/>
      </c>
      <c r="AE18" s="67" t="str">
        <f>IF(AND('Mapa final'!$Y$25="Alta",'Mapa final'!$AA$25="Mayor"),CONCATENATE("R3C",'Mapa final'!$O$25),"")</f>
        <v/>
      </c>
      <c r="AF18" s="67" t="str">
        <f>IF(AND('Mapa final'!$Y$26="Alta",'Mapa final'!$AA$26="Mayor"),CONCATENATE("R3C",'Mapa final'!$O$26),"")</f>
        <v/>
      </c>
      <c r="AG18" s="68" t="str">
        <f>IF(AND('Mapa final'!$Y$27="Alta",'Mapa final'!$AA$27="Mayor"),CONCATENATE("R3C",'Mapa final'!$O$27),"")</f>
        <v/>
      </c>
      <c r="AH18" s="69" t="str">
        <f>IF(AND('Mapa final'!$Y$22="Alta",'Mapa final'!$AA$22="Catastrófico"),CONCATENATE("R3C",'Mapa final'!$O$22),"")</f>
        <v/>
      </c>
      <c r="AI18" s="70" t="str">
        <f>IF(AND('Mapa final'!$Y$23="Alta",'Mapa final'!$AA$23="Catastrófico"),CONCATENATE("R3C",'Mapa final'!$O$23),"")</f>
        <v/>
      </c>
      <c r="AJ18" s="70" t="str">
        <f>IF(AND('Mapa final'!$Y$24="Alta",'Mapa final'!$AA$24="Catastrófico"),CONCATENATE("R3C",'Mapa final'!$O$24),"")</f>
        <v/>
      </c>
      <c r="AK18" s="70" t="str">
        <f>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72"/>
      <c r="AP18" s="373"/>
      <c r="AQ18" s="373"/>
      <c r="AR18" s="373"/>
      <c r="AS18" s="373"/>
      <c r="AT18" s="374"/>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321"/>
      <c r="C19" s="321"/>
      <c r="D19" s="322"/>
      <c r="E19" s="362"/>
      <c r="F19" s="363"/>
      <c r="G19" s="363"/>
      <c r="H19" s="363"/>
      <c r="I19" s="363"/>
      <c r="J19" s="81" t="str">
        <f>IF(AND('Mapa final'!$Y$28="Alta",'Mapa final'!$AA$28="Leve"),CONCATENATE("R4C",'Mapa final'!$O$28),"")</f>
        <v/>
      </c>
      <c r="K19" s="82" t="str">
        <f>IF(AND('Mapa final'!$Y$29="Alta",'Mapa final'!$AA$29="Leve"),CONCATENATE("R4C",'Mapa final'!$O$29),"")</f>
        <v/>
      </c>
      <c r="L19" s="82" t="str">
        <f>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IF(AND('Mapa final'!$Y$28="Alta",'Mapa final'!$AA$28="Menor"),CONCATENATE("R4C",'Mapa final'!$O$28),"")</f>
        <v/>
      </c>
      <c r="Q19" s="82" t="str">
        <f>IF(AND('Mapa final'!$Y$29="Alta",'Mapa final'!$AA$29="Menor"),CONCATENATE("R4C",'Mapa final'!$O$29),"")</f>
        <v/>
      </c>
      <c r="R19" s="82" t="str">
        <f>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IF(AND('Mapa final'!$Y$28="Alta",'Mapa final'!$AA$28="Moderado"),CONCATENATE("R4C",'Mapa final'!$O$28),"")</f>
        <v/>
      </c>
      <c r="W19" s="67" t="str">
        <f>IF(AND('Mapa final'!$Y$29="Alta",'Mapa final'!$AA$29="Moderado"),CONCATENATE("R4C",'Mapa final'!$O$29),"")</f>
        <v/>
      </c>
      <c r="X19" s="67" t="str">
        <f>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IF(AND('Mapa final'!$Y$28="Alta",'Mapa final'!$AA$28="Mayor"),CONCATENATE("R4C",'Mapa final'!$O$28),"")</f>
        <v/>
      </c>
      <c r="AC19" s="67" t="str">
        <f>IF(AND('Mapa final'!$Y$29="Alta",'Mapa final'!$AA$29="Mayor"),CONCATENATE("R4C",'Mapa final'!$O$29),"")</f>
        <v/>
      </c>
      <c r="AD19" s="67" t="str">
        <f>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IF(AND('Mapa final'!$Y$28="Alta",'Mapa final'!$AA$28="Catastrófico"),CONCATENATE("R4C",'Mapa final'!$O$28),"")</f>
        <v/>
      </c>
      <c r="AI19" s="70" t="str">
        <f>IF(AND('Mapa final'!$Y$29="Alta",'Mapa final'!$AA$29="Catastrófico"),CONCATENATE("R4C",'Mapa final'!$O$29),"")</f>
        <v/>
      </c>
      <c r="AJ19" s="70" t="str">
        <f>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72"/>
      <c r="AP19" s="373"/>
      <c r="AQ19" s="373"/>
      <c r="AR19" s="373"/>
      <c r="AS19" s="373"/>
      <c r="AT19" s="374"/>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321"/>
      <c r="C20" s="321"/>
      <c r="D20" s="322"/>
      <c r="E20" s="362"/>
      <c r="F20" s="363"/>
      <c r="G20" s="363"/>
      <c r="H20" s="363"/>
      <c r="I20" s="363"/>
      <c r="J20" s="81" t="str">
        <f>IF(AND('Mapa final'!$Y$34="Alta",'Mapa final'!$AA$34="Leve"),CONCATENATE("R5C",'Mapa final'!$O$34),"")</f>
        <v/>
      </c>
      <c r="K20" s="82" t="str">
        <f>IF(AND('Mapa final'!$Y$35="Alta",'Mapa final'!$AA$35="Leve"),CONCATENATE("R5C",'Mapa final'!$O$35),"")</f>
        <v/>
      </c>
      <c r="L20" s="82" t="str">
        <f>IF(AND('Mapa final'!$Y$36="Alta",'Mapa final'!$AA$36="Leve"),CONCATENATE("R5C",'Mapa final'!$O$36),"")</f>
        <v/>
      </c>
      <c r="M20" s="82" t="str">
        <f>IF(AND('Mapa final'!$Y$37="Alta",'Mapa final'!$AA$37="Leve"),CONCATENATE("R5C",'Mapa final'!$O$37),"")</f>
        <v/>
      </c>
      <c r="N20" s="82" t="str">
        <f>IF(AND('Mapa final'!$Y$38="Alta",'Mapa final'!$AA$38="Leve"),CONCATENATE("R5C",'Mapa final'!$O$38),"")</f>
        <v/>
      </c>
      <c r="O20" s="83" t="str">
        <f>IF(AND('Mapa final'!$Y$39="Alta",'Mapa final'!$AA$39="Leve"),CONCATENATE("R5C",'Mapa final'!$O$39),"")</f>
        <v/>
      </c>
      <c r="P20" s="81" t="str">
        <f>IF(AND('Mapa final'!$Y$34="Alta",'Mapa final'!$AA$34="Menor"),CONCATENATE("R5C",'Mapa final'!$O$34),"")</f>
        <v/>
      </c>
      <c r="Q20" s="82" t="str">
        <f>IF(AND('Mapa final'!$Y$35="Alta",'Mapa final'!$AA$35="Menor"),CONCATENATE("R5C",'Mapa final'!$O$35),"")</f>
        <v/>
      </c>
      <c r="R20" s="82" t="str">
        <f>IF(AND('Mapa final'!$Y$36="Alta",'Mapa final'!$AA$36="Menor"),CONCATENATE("R5C",'Mapa final'!$O$36),"")</f>
        <v/>
      </c>
      <c r="S20" s="82" t="str">
        <f>IF(AND('Mapa final'!$Y$37="Alta",'Mapa final'!$AA$37="Menor"),CONCATENATE("R5C",'Mapa final'!$O$37),"")</f>
        <v/>
      </c>
      <c r="T20" s="82" t="str">
        <f>IF(AND('Mapa final'!$Y$38="Alta",'Mapa final'!$AA$38="Menor"),CONCATENATE("R5C",'Mapa final'!$O$38),"")</f>
        <v/>
      </c>
      <c r="U20" s="83" t="str">
        <f>IF(AND('Mapa final'!$Y$39="Alta",'Mapa final'!$AA$39="Menor"),CONCATENATE("R5C",'Mapa final'!$O$39),"")</f>
        <v/>
      </c>
      <c r="V20" s="66" t="str">
        <f>IF(AND('Mapa final'!$Y$34="Alta",'Mapa final'!$AA$34="Moderado"),CONCATENATE("R5C",'Mapa final'!$O$34),"")</f>
        <v/>
      </c>
      <c r="W20" s="67" t="str">
        <f>IF(AND('Mapa final'!$Y$35="Alta",'Mapa final'!$AA$35="Moderado"),CONCATENATE("R5C",'Mapa final'!$O$35),"")</f>
        <v/>
      </c>
      <c r="X20" s="67" t="str">
        <f>IF(AND('Mapa final'!$Y$36="Alta",'Mapa final'!$AA$36="Moderado"),CONCATENATE("R5C",'Mapa final'!$O$36),"")</f>
        <v/>
      </c>
      <c r="Y20" s="67" t="str">
        <f>IF(AND('Mapa final'!$Y$37="Alta",'Mapa final'!$AA$37="Moderado"),CONCATENATE("R5C",'Mapa final'!$O$37),"")</f>
        <v/>
      </c>
      <c r="Z20" s="67" t="str">
        <f>IF(AND('Mapa final'!$Y$38="Alta",'Mapa final'!$AA$38="Moderado"),CONCATENATE("R5C",'Mapa final'!$O$38),"")</f>
        <v/>
      </c>
      <c r="AA20" s="68" t="str">
        <f>IF(AND('Mapa final'!$Y$39="Alta",'Mapa final'!$AA$39="Moderado"),CONCATENATE("R5C",'Mapa final'!$O$39),"")</f>
        <v/>
      </c>
      <c r="AB20" s="66" t="str">
        <f>IF(AND('Mapa final'!$Y$34="Alta",'Mapa final'!$AA$34="Mayor"),CONCATENATE("R5C",'Mapa final'!$O$34),"")</f>
        <v/>
      </c>
      <c r="AC20" s="67" t="str">
        <f>IF(AND('Mapa final'!$Y$35="Alta",'Mapa final'!$AA$35="Mayor"),CONCATENATE("R5C",'Mapa final'!$O$35),"")</f>
        <v/>
      </c>
      <c r="AD20" s="67" t="str">
        <f>IF(AND('Mapa final'!$Y$36="Alta",'Mapa final'!$AA$36="Mayor"),CONCATENATE("R5C",'Mapa final'!$O$36),"")</f>
        <v/>
      </c>
      <c r="AE20" s="67" t="str">
        <f>IF(AND('Mapa final'!$Y$37="Alta",'Mapa final'!$AA$37="Mayor"),CONCATENATE("R5C",'Mapa final'!$O$37),"")</f>
        <v/>
      </c>
      <c r="AF20" s="67" t="str">
        <f>IF(AND('Mapa final'!$Y$38="Alta",'Mapa final'!$AA$38="Mayor"),CONCATENATE("R5C",'Mapa final'!$O$38),"")</f>
        <v/>
      </c>
      <c r="AG20" s="68" t="str">
        <f>IF(AND('Mapa final'!$Y$39="Alta",'Mapa final'!$AA$39="Mayor"),CONCATENATE("R5C",'Mapa final'!$O$39),"")</f>
        <v/>
      </c>
      <c r="AH20" s="69" t="str">
        <f>IF(AND('Mapa final'!$Y$34="Alta",'Mapa final'!$AA$34="Catastrófico"),CONCATENATE("R5C",'Mapa final'!$O$34),"")</f>
        <v/>
      </c>
      <c r="AI20" s="70" t="str">
        <f>IF(AND('Mapa final'!$Y$35="Alta",'Mapa final'!$AA$35="Catastrófico"),CONCATENATE("R5C",'Mapa final'!$O$35),"")</f>
        <v/>
      </c>
      <c r="AJ20" s="70" t="str">
        <f>IF(AND('Mapa final'!$Y$36="Alta",'Mapa final'!$AA$36="Catastrófico"),CONCATENATE("R5C",'Mapa final'!$O$36),"")</f>
        <v/>
      </c>
      <c r="AK20" s="70" t="str">
        <f>IF(AND('Mapa final'!$Y$37="Alta",'Mapa final'!$AA$37="Catastrófico"),CONCATENATE("R5C",'Mapa final'!$O$37),"")</f>
        <v/>
      </c>
      <c r="AL20" s="70" t="str">
        <f>IF(AND('Mapa final'!$Y$38="Alta",'Mapa final'!$AA$38="Catastrófico"),CONCATENATE("R5C",'Mapa final'!$O$38),"")</f>
        <v/>
      </c>
      <c r="AM20" s="71" t="str">
        <f>IF(AND('Mapa final'!$Y$39="Alta",'Mapa final'!$AA$39="Catastrófico"),CONCATENATE("R5C",'Mapa final'!$O$39),"")</f>
        <v/>
      </c>
      <c r="AN20" s="97"/>
      <c r="AO20" s="372"/>
      <c r="AP20" s="373"/>
      <c r="AQ20" s="373"/>
      <c r="AR20" s="373"/>
      <c r="AS20" s="373"/>
      <c r="AT20" s="374"/>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321"/>
      <c r="C21" s="321"/>
      <c r="D21" s="322"/>
      <c r="E21" s="362"/>
      <c r="F21" s="363"/>
      <c r="G21" s="363"/>
      <c r="H21" s="363"/>
      <c r="I21" s="363"/>
      <c r="J21" s="81" t="str">
        <f>IF(AND('Mapa final'!$Y$40="Alta",'Mapa final'!$AA$40="Leve"),CONCATENATE("R6C",'Mapa final'!$O$40),"")</f>
        <v/>
      </c>
      <c r="K21" s="82" t="str">
        <f>IF(AND('Mapa final'!$Y$41="Alta",'Mapa final'!$AA$41="Leve"),CONCATENATE("R6C",'Mapa final'!$O$41),"")</f>
        <v/>
      </c>
      <c r="L21" s="82" t="str">
        <f>IF(AND('Mapa final'!$Y$42="Alta",'Mapa final'!$AA$42="Leve"),CONCATENATE("R6C",'Mapa final'!$O$42),"")</f>
        <v/>
      </c>
      <c r="M21" s="82" t="str">
        <f>IF(AND('Mapa final'!$Y$43="Alta",'Mapa final'!$AA$43="Leve"),CONCATENATE("R6C",'Mapa final'!$O$43),"")</f>
        <v/>
      </c>
      <c r="N21" s="82" t="str">
        <f>IF(AND('Mapa final'!$Y$44="Alta",'Mapa final'!$AA$44="Leve"),CONCATENATE("R6C",'Mapa final'!$O$44),"")</f>
        <v/>
      </c>
      <c r="O21" s="83" t="str">
        <f>IF(AND('Mapa final'!$Y$45="Alta",'Mapa final'!$AA$45="Leve"),CONCATENATE("R6C",'Mapa final'!$O$45),"")</f>
        <v/>
      </c>
      <c r="P21" s="81" t="str">
        <f>IF(AND('Mapa final'!$Y$40="Alta",'Mapa final'!$AA$40="Menor"),CONCATENATE("R6C",'Mapa final'!$O$40),"")</f>
        <v/>
      </c>
      <c r="Q21" s="82" t="str">
        <f>IF(AND('Mapa final'!$Y$41="Alta",'Mapa final'!$AA$41="Menor"),CONCATENATE("R6C",'Mapa final'!$O$41),"")</f>
        <v/>
      </c>
      <c r="R21" s="82" t="str">
        <f>IF(AND('Mapa final'!$Y$42="Alta",'Mapa final'!$AA$42="Menor"),CONCATENATE("R6C",'Mapa final'!$O$42),"")</f>
        <v/>
      </c>
      <c r="S21" s="82" t="str">
        <f>IF(AND('Mapa final'!$Y$43="Alta",'Mapa final'!$AA$43="Menor"),CONCATENATE("R6C",'Mapa final'!$O$43),"")</f>
        <v/>
      </c>
      <c r="T21" s="82" t="str">
        <f>IF(AND('Mapa final'!$Y$44="Alta",'Mapa final'!$AA$44="Menor"),CONCATENATE("R6C",'Mapa final'!$O$44),"")</f>
        <v/>
      </c>
      <c r="U21" s="83" t="str">
        <f>IF(AND('Mapa final'!$Y$45="Alta",'Mapa final'!$AA$45="Menor"),CONCATENATE("R6C",'Mapa final'!$O$45),"")</f>
        <v/>
      </c>
      <c r="V21" s="66" t="str">
        <f>IF(AND('Mapa final'!$Y$40="Alta",'Mapa final'!$AA$40="Moderado"),CONCATENATE("R6C",'Mapa final'!$O$40),"")</f>
        <v/>
      </c>
      <c r="W21" s="67" t="str">
        <f>IF(AND('Mapa final'!$Y$41="Alta",'Mapa final'!$AA$41="Moderado"),CONCATENATE("R6C",'Mapa final'!$O$41),"")</f>
        <v/>
      </c>
      <c r="X21" s="67" t="str">
        <f>IF(AND('Mapa final'!$Y$42="Alta",'Mapa final'!$AA$42="Moderado"),CONCATENATE("R6C",'Mapa final'!$O$42),"")</f>
        <v/>
      </c>
      <c r="Y21" s="67" t="str">
        <f>IF(AND('Mapa final'!$Y$43="Alta",'Mapa final'!$AA$43="Moderado"),CONCATENATE("R6C",'Mapa final'!$O$43),"")</f>
        <v/>
      </c>
      <c r="Z21" s="67" t="str">
        <f>IF(AND('Mapa final'!$Y$44="Alta",'Mapa final'!$AA$44="Moderado"),CONCATENATE("R6C",'Mapa final'!$O$44),"")</f>
        <v/>
      </c>
      <c r="AA21" s="68" t="str">
        <f>IF(AND('Mapa final'!$Y$45="Alta",'Mapa final'!$AA$45="Moderado"),CONCATENATE("R6C",'Mapa final'!$O$45),"")</f>
        <v/>
      </c>
      <c r="AB21" s="66" t="str">
        <f>IF(AND('Mapa final'!$Y$40="Alta",'Mapa final'!$AA$40="Mayor"),CONCATENATE("R6C",'Mapa final'!$O$40),"")</f>
        <v/>
      </c>
      <c r="AC21" s="67" t="str">
        <f>IF(AND('Mapa final'!$Y$41="Alta",'Mapa final'!$AA$41="Mayor"),CONCATENATE("R6C",'Mapa final'!$O$41),"")</f>
        <v/>
      </c>
      <c r="AD21" s="67" t="str">
        <f>IF(AND('Mapa final'!$Y$42="Alta",'Mapa final'!$AA$42="Mayor"),CONCATENATE("R6C",'Mapa final'!$O$42),"")</f>
        <v/>
      </c>
      <c r="AE21" s="67" t="str">
        <f>IF(AND('Mapa final'!$Y$43="Alta",'Mapa final'!$AA$43="Mayor"),CONCATENATE("R6C",'Mapa final'!$O$43),"")</f>
        <v/>
      </c>
      <c r="AF21" s="67" t="str">
        <f>IF(AND('Mapa final'!$Y$44="Alta",'Mapa final'!$AA$44="Mayor"),CONCATENATE("R6C",'Mapa final'!$O$44),"")</f>
        <v/>
      </c>
      <c r="AG21" s="68" t="str">
        <f>IF(AND('Mapa final'!$Y$45="Alta",'Mapa final'!$AA$45="Mayor"),CONCATENATE("R6C",'Mapa final'!$O$45),"")</f>
        <v/>
      </c>
      <c r="AH21" s="69" t="str">
        <f>IF(AND('Mapa final'!$Y$40="Alta",'Mapa final'!$AA$40="Catastrófico"),CONCATENATE("R6C",'Mapa final'!$O$40),"")</f>
        <v/>
      </c>
      <c r="AI21" s="70" t="str">
        <f>IF(AND('Mapa final'!$Y$41="Alta",'Mapa final'!$AA$41="Catastrófico"),CONCATENATE("R6C",'Mapa final'!$O$41),"")</f>
        <v/>
      </c>
      <c r="AJ21" s="70" t="str">
        <f>IF(AND('Mapa final'!$Y$42="Alta",'Mapa final'!$AA$42="Catastrófico"),CONCATENATE("R6C",'Mapa final'!$O$42),"")</f>
        <v/>
      </c>
      <c r="AK21" s="70" t="str">
        <f>IF(AND('Mapa final'!$Y$43="Alta",'Mapa final'!$AA$43="Catastrófico"),CONCATENATE("R6C",'Mapa final'!$O$43),"")</f>
        <v/>
      </c>
      <c r="AL21" s="70" t="str">
        <f>IF(AND('Mapa final'!$Y$44="Alta",'Mapa final'!$AA$44="Catastrófico"),CONCATENATE("R6C",'Mapa final'!$O$44),"")</f>
        <v/>
      </c>
      <c r="AM21" s="71" t="str">
        <f>IF(AND('Mapa final'!$Y$45="Alta",'Mapa final'!$AA$45="Catastrófico"),CONCATENATE("R6C",'Mapa final'!$O$45),"")</f>
        <v/>
      </c>
      <c r="AN21" s="97"/>
      <c r="AO21" s="372"/>
      <c r="AP21" s="373"/>
      <c r="AQ21" s="373"/>
      <c r="AR21" s="373"/>
      <c r="AS21" s="373"/>
      <c r="AT21" s="374"/>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321"/>
      <c r="C22" s="321"/>
      <c r="D22" s="322"/>
      <c r="E22" s="362"/>
      <c r="F22" s="363"/>
      <c r="G22" s="363"/>
      <c r="H22" s="363"/>
      <c r="I22" s="363"/>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72"/>
      <c r="AP22" s="373"/>
      <c r="AQ22" s="373"/>
      <c r="AR22" s="373"/>
      <c r="AS22" s="373"/>
      <c r="AT22" s="374"/>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321"/>
      <c r="C23" s="321"/>
      <c r="D23" s="322"/>
      <c r="E23" s="362"/>
      <c r="F23" s="363"/>
      <c r="G23" s="363"/>
      <c r="H23" s="363"/>
      <c r="I23" s="363"/>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72"/>
      <c r="AP23" s="373"/>
      <c r="AQ23" s="373"/>
      <c r="AR23" s="373"/>
      <c r="AS23" s="373"/>
      <c r="AT23" s="374"/>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321"/>
      <c r="C24" s="321"/>
      <c r="D24" s="322"/>
      <c r="E24" s="362"/>
      <c r="F24" s="363"/>
      <c r="G24" s="363"/>
      <c r="H24" s="363"/>
      <c r="I24" s="363"/>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72"/>
      <c r="AP24" s="373"/>
      <c r="AQ24" s="373"/>
      <c r="AR24" s="373"/>
      <c r="AS24" s="373"/>
      <c r="AT24" s="374"/>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321"/>
      <c r="C25" s="321"/>
      <c r="D25" s="322"/>
      <c r="E25" s="365"/>
      <c r="F25" s="366"/>
      <c r="G25" s="366"/>
      <c r="H25" s="366"/>
      <c r="I25" s="366"/>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75"/>
      <c r="AP25" s="376"/>
      <c r="AQ25" s="376"/>
      <c r="AR25" s="376"/>
      <c r="AS25" s="376"/>
      <c r="AT25" s="37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321"/>
      <c r="C26" s="321"/>
      <c r="D26" s="322"/>
      <c r="E26" s="359" t="s">
        <v>117</v>
      </c>
      <c r="F26" s="360"/>
      <c r="G26" s="360"/>
      <c r="H26" s="360"/>
      <c r="I26" s="361"/>
      <c r="J26" s="78" t="str">
        <f>IF(AND('Mapa final'!$Y$10="Media",'Mapa final'!$AA$10="Leve"),CONCATENATE("R1C",'Mapa final'!$O$10),"")</f>
        <v/>
      </c>
      <c r="K26" s="79" t="str">
        <f>IF(AND('Mapa final'!$Y$11="Media",'Mapa final'!$AA$11="Leve"),CONCATENATE("R1C",'Mapa final'!$O$11),"")</f>
        <v/>
      </c>
      <c r="L26" s="79" t="str">
        <f>IF(AND('Mapa final'!$Y$12="Media",'Mapa final'!$AA$12="Leve"),CONCATENATE("R1C",'Mapa final'!$O$12),"")</f>
        <v/>
      </c>
      <c r="M26" s="79" t="str">
        <f>IF(AND('Mapa final'!$Y$13="Media",'Mapa final'!$AA$13="Leve"),CONCATENATE("R1C",'Mapa final'!$O$13),"")</f>
        <v/>
      </c>
      <c r="N26" s="79" t="str">
        <f>IF(AND('Mapa final'!$Y$14="Media",'Mapa final'!$AA$14="Leve"),CONCATENATE("R1C",'Mapa final'!$O$14),"")</f>
        <v/>
      </c>
      <c r="O26" s="80" t="str">
        <f>IF(AND('Mapa final'!$Y$15="Media",'Mapa final'!$AA$15="Leve"),CONCATENATE("R1C",'Mapa final'!$O$15),"")</f>
        <v/>
      </c>
      <c r="P26" s="78" t="str">
        <f>IF(AND('Mapa final'!$Y$10="Media",'Mapa final'!$AA$10="Menor"),CONCATENATE("R1C",'Mapa final'!$O$10),"")</f>
        <v/>
      </c>
      <c r="Q26" s="79" t="str">
        <f>IF(AND('Mapa final'!$Y$11="Media",'Mapa final'!$AA$11="Menor"),CONCATENATE("R1C",'Mapa final'!$O$11),"")</f>
        <v/>
      </c>
      <c r="R26" s="79" t="str">
        <f>IF(AND('Mapa final'!$Y$12="Media",'Mapa final'!$AA$12="Menor"),CONCATENATE("R1C",'Mapa final'!$O$12),"")</f>
        <v/>
      </c>
      <c r="S26" s="79" t="str">
        <f>IF(AND('Mapa final'!$Y$13="Media",'Mapa final'!$AA$13="Menor"),CONCATENATE("R1C",'Mapa final'!$O$13),"")</f>
        <v/>
      </c>
      <c r="T26" s="79" t="str">
        <f>IF(AND('Mapa final'!$Y$14="Media",'Mapa final'!$AA$14="Menor"),CONCATENATE("R1C",'Mapa final'!$O$14),"")</f>
        <v/>
      </c>
      <c r="U26" s="80" t="str">
        <f>IF(AND('Mapa final'!$Y$15="Media",'Mapa final'!$AA$15="Menor"),CONCATENATE("R1C",'Mapa final'!$O$15),"")</f>
        <v/>
      </c>
      <c r="V26" s="78" t="str">
        <f>IF(AND('Mapa final'!$Y$10="Media",'Mapa final'!$AA$10="Moderado"),CONCATENATE("R1C",'Mapa final'!$O$10),"")</f>
        <v/>
      </c>
      <c r="W26" s="79" t="str">
        <f>IF(AND('Mapa final'!$Y$11="Media",'Mapa final'!$AA$11="Moderado"),CONCATENATE("R1C",'Mapa final'!$O$11),"")</f>
        <v/>
      </c>
      <c r="X26" s="79" t="str">
        <f>IF(AND('Mapa final'!$Y$12="Media",'Mapa final'!$AA$12="Moderado"),CONCATENATE("R1C",'Mapa final'!$O$12),"")</f>
        <v/>
      </c>
      <c r="Y26" s="79" t="str">
        <f>IF(AND('Mapa final'!$Y$13="Media",'Mapa final'!$AA$13="Moderado"),CONCATENATE("R1C",'Mapa final'!$O$13),"")</f>
        <v/>
      </c>
      <c r="Z26" s="79" t="str">
        <f>IF(AND('Mapa final'!$Y$14="Media",'Mapa final'!$AA$14="Moderado"),CONCATENATE("R1C",'Mapa final'!$O$14),"")</f>
        <v/>
      </c>
      <c r="AA26" s="80" t="str">
        <f>IF(AND('Mapa final'!$Y$15="Media",'Mapa final'!$AA$15="Moderado"),CONCATENATE("R1C",'Mapa final'!$O$15),"")</f>
        <v/>
      </c>
      <c r="AB26" s="60" t="str">
        <f>IF(AND('Mapa final'!$Y$10="Media",'Mapa final'!$AA$10="Mayor"),CONCATENATE("R1C",'Mapa final'!$O$10),"")</f>
        <v>R1C1</v>
      </c>
      <c r="AC26" s="61" t="str">
        <f>IF(AND('Mapa final'!$Y$11="Media",'Mapa final'!$AA$11="Mayor"),CONCATENATE("R1C",'Mapa final'!$O$11),"")</f>
        <v/>
      </c>
      <c r="AD26" s="61" t="str">
        <f>IF(AND('Mapa final'!$Y$12="Media",'Mapa final'!$AA$12="Mayor"),CONCATENATE("R1C",'Mapa final'!$O$12),"")</f>
        <v/>
      </c>
      <c r="AE26" s="61" t="str">
        <f>IF(AND('Mapa final'!$Y$13="Media",'Mapa final'!$AA$13="Mayor"),CONCATENATE("R1C",'Mapa final'!$O$13),"")</f>
        <v/>
      </c>
      <c r="AF26" s="61" t="str">
        <f>IF(AND('Mapa final'!$Y$14="Media",'Mapa final'!$AA$14="Mayor"),CONCATENATE("R1C",'Mapa final'!$O$14),"")</f>
        <v/>
      </c>
      <c r="AG26" s="62" t="str">
        <f>IF(AND('Mapa final'!$Y$15="Media",'Mapa final'!$AA$15="Mayor"),CONCATENATE("R1C",'Mapa final'!$O$15),"")</f>
        <v/>
      </c>
      <c r="AH26" s="63" t="str">
        <f>IF(AND('Mapa final'!$Y$10="Media",'Mapa final'!$AA$10="Catastrófico"),CONCATENATE("R1C",'Mapa final'!$O$10),"")</f>
        <v/>
      </c>
      <c r="AI26" s="64" t="str">
        <f>IF(AND('Mapa final'!$Y$11="Media",'Mapa final'!$AA$11="Catastrófico"),CONCATENATE("R1C",'Mapa final'!$O$11),"")</f>
        <v/>
      </c>
      <c r="AJ26" s="64" t="str">
        <f>IF(AND('Mapa final'!$Y$12="Media",'Mapa final'!$AA$12="Catastrófico"),CONCATENATE("R1C",'Mapa final'!$O$12),"")</f>
        <v/>
      </c>
      <c r="AK26" s="64" t="str">
        <f>IF(AND('Mapa final'!$Y$13="Media",'Mapa final'!$AA$13="Catastrófico"),CONCATENATE("R1C",'Mapa final'!$O$13),"")</f>
        <v/>
      </c>
      <c r="AL26" s="64" t="str">
        <f>IF(AND('Mapa final'!$Y$14="Media",'Mapa final'!$AA$14="Catastrófico"),CONCATENATE("R1C",'Mapa final'!$O$14),"")</f>
        <v/>
      </c>
      <c r="AM26" s="65" t="str">
        <f>IF(AND('Mapa final'!$Y$15="Media",'Mapa final'!$AA$15="Catastrófico"),CONCATENATE("R1C",'Mapa final'!$O$15),"")</f>
        <v/>
      </c>
      <c r="AN26" s="97"/>
      <c r="AO26" s="399" t="s">
        <v>81</v>
      </c>
      <c r="AP26" s="400"/>
      <c r="AQ26" s="400"/>
      <c r="AR26" s="400"/>
      <c r="AS26" s="400"/>
      <c r="AT26" s="401"/>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321"/>
      <c r="C27" s="321"/>
      <c r="D27" s="322"/>
      <c r="E27" s="378"/>
      <c r="F27" s="363"/>
      <c r="G27" s="363"/>
      <c r="H27" s="363"/>
      <c r="I27" s="364"/>
      <c r="J27" s="81" t="str">
        <f>IF(AND('Mapa final'!$Y$16="Media",'Mapa final'!$AA$16="Leve"),CONCATENATE("R2C",'Mapa final'!$O$16),"")</f>
        <v/>
      </c>
      <c r="K27" s="82" t="str">
        <f>IF(AND('Mapa final'!$Y$17="Media",'Mapa final'!$AA$17="Leve"),CONCATENATE("R2C",'Mapa final'!$O$17),"")</f>
        <v/>
      </c>
      <c r="L27" s="82" t="str">
        <f>IF(AND('Mapa final'!$Y$18="Media",'Mapa final'!$AA$18="Leve"),CONCATENATE("R2C",'Mapa final'!$O$18),"")</f>
        <v/>
      </c>
      <c r="M27" s="82" t="str">
        <f>IF(AND('Mapa final'!$Y$19="Media",'Mapa final'!$AA$19="Leve"),CONCATENATE("R2C",'Mapa final'!$O$19),"")</f>
        <v/>
      </c>
      <c r="N27" s="82" t="str">
        <f>IF(AND('Mapa final'!$Y$20="Media",'Mapa final'!$AA$20="Leve"),CONCATENATE("R2C",'Mapa final'!$O$20),"")</f>
        <v/>
      </c>
      <c r="O27" s="83" t="str">
        <f>IF(AND('Mapa final'!$Y$21="Media",'Mapa final'!$AA$21="Leve"),CONCATENATE("R2C",'Mapa final'!$O$21),"")</f>
        <v/>
      </c>
      <c r="P27" s="81" t="str">
        <f>IF(AND('Mapa final'!$Y$16="Media",'Mapa final'!$AA$16="Menor"),CONCATENATE("R2C",'Mapa final'!$O$16),"")</f>
        <v/>
      </c>
      <c r="Q27" s="82" t="str">
        <f>IF(AND('Mapa final'!$Y$17="Media",'Mapa final'!$AA$17="Menor"),CONCATENATE("R2C",'Mapa final'!$O$17),"")</f>
        <v/>
      </c>
      <c r="R27" s="82" t="str">
        <f>IF(AND('Mapa final'!$Y$18="Media",'Mapa final'!$AA$18="Menor"),CONCATENATE("R2C",'Mapa final'!$O$18),"")</f>
        <v/>
      </c>
      <c r="S27" s="82" t="str">
        <f>IF(AND('Mapa final'!$Y$19="Media",'Mapa final'!$AA$19="Menor"),CONCATENATE("R2C",'Mapa final'!$O$19),"")</f>
        <v/>
      </c>
      <c r="T27" s="82" t="str">
        <f>IF(AND('Mapa final'!$Y$20="Media",'Mapa final'!$AA$20="Menor"),CONCATENATE("R2C",'Mapa final'!$O$20),"")</f>
        <v/>
      </c>
      <c r="U27" s="83" t="str">
        <f>IF(AND('Mapa final'!$Y$21="Media",'Mapa final'!$AA$21="Menor"),CONCATENATE("R2C",'Mapa final'!$O$21),"")</f>
        <v/>
      </c>
      <c r="V27" s="81" t="str">
        <f>IF(AND('Mapa final'!$Y$16="Media",'Mapa final'!$AA$16="Moderado"),CONCATENATE("R2C",'Mapa final'!$O$16),"")</f>
        <v/>
      </c>
      <c r="W27" s="82" t="str">
        <f>IF(AND('Mapa final'!$Y$17="Media",'Mapa final'!$AA$17="Moderado"),CONCATENATE("R2C",'Mapa final'!$O$17),"")</f>
        <v/>
      </c>
      <c r="X27" s="82" t="str">
        <f>IF(AND('Mapa final'!$Y$18="Media",'Mapa final'!$AA$18="Moderado"),CONCATENATE("R2C",'Mapa final'!$O$18),"")</f>
        <v/>
      </c>
      <c r="Y27" s="82" t="str">
        <f>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IF(AND('Mapa final'!$Y$16="Media",'Mapa final'!$AA$16="Mayor"),CONCATENATE("R2C",'Mapa final'!$O$16),"")</f>
        <v/>
      </c>
      <c r="AC27" s="67" t="str">
        <f>IF(AND('Mapa final'!$Y$17="Media",'Mapa final'!$AA$17="Mayor"),CONCATENATE("R2C",'Mapa final'!$O$17),"")</f>
        <v/>
      </c>
      <c r="AD27" s="67" t="str">
        <f>IF(AND('Mapa final'!$Y$18="Media",'Mapa final'!$AA$18="Mayor"),CONCATENATE("R2C",'Mapa final'!$O$18),"")</f>
        <v/>
      </c>
      <c r="AE27" s="67" t="str">
        <f>IF(AND('Mapa final'!$Y$19="Media",'Mapa final'!$AA$19="Mayor"),CONCATENATE("R2C",'Mapa final'!$O$19),"")</f>
        <v/>
      </c>
      <c r="AF27" s="67" t="str">
        <f>IF(AND('Mapa final'!$Y$20="Media",'Mapa final'!$AA$20="Mayor"),CONCATENATE("R2C",'Mapa final'!$O$20),"")</f>
        <v/>
      </c>
      <c r="AG27" s="68" t="str">
        <f>IF(AND('Mapa final'!$Y$21="Media",'Mapa final'!$AA$21="Mayor"),CONCATENATE("R2C",'Mapa final'!$O$21),"")</f>
        <v/>
      </c>
      <c r="AH27" s="69" t="str">
        <f>IF(AND('Mapa final'!$Y$16="Media",'Mapa final'!$AA$16="Catastrófico"),CONCATENATE("R2C",'Mapa final'!$O$16),"")</f>
        <v/>
      </c>
      <c r="AI27" s="70" t="str">
        <f>IF(AND('Mapa final'!$Y$17="Media",'Mapa final'!$AA$17="Catastrófico"),CONCATENATE("R2C",'Mapa final'!$O$17),"")</f>
        <v/>
      </c>
      <c r="AJ27" s="70" t="str">
        <f>IF(AND('Mapa final'!$Y$18="Media",'Mapa final'!$AA$18="Catastrófico"),CONCATENATE("R2C",'Mapa final'!$O$18),"")</f>
        <v/>
      </c>
      <c r="AK27" s="70" t="str">
        <f>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402"/>
      <c r="AP27" s="403"/>
      <c r="AQ27" s="403"/>
      <c r="AR27" s="403"/>
      <c r="AS27" s="403"/>
      <c r="AT27" s="404"/>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321"/>
      <c r="C28" s="321"/>
      <c r="D28" s="322"/>
      <c r="E28" s="362"/>
      <c r="F28" s="363"/>
      <c r="G28" s="363"/>
      <c r="H28" s="363"/>
      <c r="I28" s="364"/>
      <c r="J28" s="81" t="str">
        <f>IF(AND('Mapa final'!$Y$22="Media",'Mapa final'!$AA$22="Leve"),CONCATENATE("R3C",'Mapa final'!$O$22),"")</f>
        <v/>
      </c>
      <c r="K28" s="82" t="str">
        <f>IF(AND('Mapa final'!$Y$23="Media",'Mapa final'!$AA$23="Leve"),CONCATENATE("R3C",'Mapa final'!$O$23),"")</f>
        <v/>
      </c>
      <c r="L28" s="82" t="str">
        <f>IF(AND('Mapa final'!$Y$24="Media",'Mapa final'!$AA$24="Leve"),CONCATENATE("R3C",'Mapa final'!$O$24),"")</f>
        <v/>
      </c>
      <c r="M28" s="82" t="str">
        <f>IF(AND('Mapa final'!$Y$25="Media",'Mapa final'!$AA$25="Leve"),CONCATENATE("R3C",'Mapa final'!$O$25),"")</f>
        <v/>
      </c>
      <c r="N28" s="82" t="str">
        <f>IF(AND('Mapa final'!$Y$26="Media",'Mapa final'!$AA$26="Leve"),CONCATENATE("R3C",'Mapa final'!$O$26),"")</f>
        <v/>
      </c>
      <c r="O28" s="83" t="str">
        <f>IF(AND('Mapa final'!$Y$27="Media",'Mapa final'!$AA$27="Leve"),CONCATENATE("R3C",'Mapa final'!$O$27),"")</f>
        <v/>
      </c>
      <c r="P28" s="81" t="str">
        <f>IF(AND('Mapa final'!$Y$22="Media",'Mapa final'!$AA$22="Menor"),CONCATENATE("R3C",'Mapa final'!$O$22),"")</f>
        <v/>
      </c>
      <c r="Q28" s="82" t="str">
        <f>IF(AND('Mapa final'!$Y$23="Media",'Mapa final'!$AA$23="Menor"),CONCATENATE("R3C",'Mapa final'!$O$23),"")</f>
        <v/>
      </c>
      <c r="R28" s="82" t="str">
        <f>IF(AND('Mapa final'!$Y$24="Media",'Mapa final'!$AA$24="Menor"),CONCATENATE("R3C",'Mapa final'!$O$24),"")</f>
        <v/>
      </c>
      <c r="S28" s="82" t="str">
        <f>IF(AND('Mapa final'!$Y$25="Media",'Mapa final'!$AA$25="Menor"),CONCATENATE("R3C",'Mapa final'!$O$25),"")</f>
        <v/>
      </c>
      <c r="T28" s="82" t="str">
        <f>IF(AND('Mapa final'!$Y$26="Media",'Mapa final'!$AA$26="Menor"),CONCATENATE("R3C",'Mapa final'!$O$26),"")</f>
        <v/>
      </c>
      <c r="U28" s="83" t="str">
        <f>IF(AND('Mapa final'!$Y$27="Media",'Mapa final'!$AA$27="Menor"),CONCATENATE("R3C",'Mapa final'!$O$27),"")</f>
        <v/>
      </c>
      <c r="V28" s="81" t="str">
        <f>IF(AND('Mapa final'!$Y$22="Media",'Mapa final'!$AA$22="Moderado"),CONCATENATE("R3C",'Mapa final'!$O$22),"")</f>
        <v/>
      </c>
      <c r="W28" s="82" t="str">
        <f>IF(AND('Mapa final'!$Y$23="Media",'Mapa final'!$AA$23="Moderado"),CONCATENATE("R3C",'Mapa final'!$O$23),"")</f>
        <v/>
      </c>
      <c r="X28" s="82" t="str">
        <f>IF(AND('Mapa final'!$Y$24="Media",'Mapa final'!$AA$24="Moderado"),CONCATENATE("R3C",'Mapa final'!$O$24),"")</f>
        <v/>
      </c>
      <c r="Y28" s="82" t="str">
        <f>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IF(AND('Mapa final'!$Y$22="Media",'Mapa final'!$AA$22="Mayor"),CONCATENATE("R3C",'Mapa final'!$O$22),"")</f>
        <v/>
      </c>
      <c r="AC28" s="67" t="str">
        <f>IF(AND('Mapa final'!$Y$23="Media",'Mapa final'!$AA$23="Mayor"),CONCATENATE("R3C",'Mapa final'!$O$23),"")</f>
        <v/>
      </c>
      <c r="AD28" s="67" t="str">
        <f>IF(AND('Mapa final'!$Y$24="Media",'Mapa final'!$AA$24="Mayor"),CONCATENATE("R3C",'Mapa final'!$O$24),"")</f>
        <v/>
      </c>
      <c r="AE28" s="67" t="str">
        <f>IF(AND('Mapa final'!$Y$25="Media",'Mapa final'!$AA$25="Mayor"),CONCATENATE("R3C",'Mapa final'!$O$25),"")</f>
        <v/>
      </c>
      <c r="AF28" s="67" t="str">
        <f>IF(AND('Mapa final'!$Y$26="Media",'Mapa final'!$AA$26="Mayor"),CONCATENATE("R3C",'Mapa final'!$O$26),"")</f>
        <v/>
      </c>
      <c r="AG28" s="68" t="str">
        <f>IF(AND('Mapa final'!$Y$27="Media",'Mapa final'!$AA$27="Mayor"),CONCATENATE("R3C",'Mapa final'!$O$27),"")</f>
        <v/>
      </c>
      <c r="AH28" s="69" t="str">
        <f>IF(AND('Mapa final'!$Y$22="Media",'Mapa final'!$AA$22="Catastrófico"),CONCATENATE("R3C",'Mapa final'!$O$22),"")</f>
        <v/>
      </c>
      <c r="AI28" s="70" t="str">
        <f>IF(AND('Mapa final'!$Y$23="Media",'Mapa final'!$AA$23="Catastrófico"),CONCATENATE("R3C",'Mapa final'!$O$23),"")</f>
        <v/>
      </c>
      <c r="AJ28" s="70" t="str">
        <f>IF(AND('Mapa final'!$Y$24="Media",'Mapa final'!$AA$24="Catastrófico"),CONCATENATE("R3C",'Mapa final'!$O$24),"")</f>
        <v/>
      </c>
      <c r="AK28" s="70" t="str">
        <f>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402"/>
      <c r="AP28" s="403"/>
      <c r="AQ28" s="403"/>
      <c r="AR28" s="403"/>
      <c r="AS28" s="403"/>
      <c r="AT28" s="404"/>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321"/>
      <c r="C29" s="321"/>
      <c r="D29" s="322"/>
      <c r="E29" s="362"/>
      <c r="F29" s="363"/>
      <c r="G29" s="363"/>
      <c r="H29" s="363"/>
      <c r="I29" s="364"/>
      <c r="J29" s="81" t="str">
        <f>IF(AND('Mapa final'!$Y$28="Media",'Mapa final'!$AA$28="Leve"),CONCATENATE("R4C",'Mapa final'!$O$28),"")</f>
        <v/>
      </c>
      <c r="K29" s="82" t="str">
        <f>IF(AND('Mapa final'!$Y$29="Media",'Mapa final'!$AA$29="Leve"),CONCATENATE("R4C",'Mapa final'!$O$29),"")</f>
        <v/>
      </c>
      <c r="L29" s="82" t="str">
        <f>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IF(AND('Mapa final'!$Y$28="Media",'Mapa final'!$AA$28="Menor"),CONCATENATE("R4C",'Mapa final'!$O$28),"")</f>
        <v/>
      </c>
      <c r="Q29" s="82" t="str">
        <f>IF(AND('Mapa final'!$Y$29="Media",'Mapa final'!$AA$29="Menor"),CONCATENATE("R4C",'Mapa final'!$O$29),"")</f>
        <v/>
      </c>
      <c r="R29" s="82" t="str">
        <f>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IF(AND('Mapa final'!$Y$28="Media",'Mapa final'!$AA$28="Moderado"),CONCATENATE("R4C",'Mapa final'!$O$28),"")</f>
        <v/>
      </c>
      <c r="W29" s="82" t="str">
        <f>IF(AND('Mapa final'!$Y$29="Media",'Mapa final'!$AA$29="Moderado"),CONCATENATE("R4C",'Mapa final'!$O$29),"")</f>
        <v/>
      </c>
      <c r="X29" s="82" t="str">
        <f>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IF(AND('Mapa final'!$Y$28="Media",'Mapa final'!$AA$28="Mayor"),CONCATENATE("R4C",'Mapa final'!$O$28),"")</f>
        <v/>
      </c>
      <c r="AC29" s="67" t="str">
        <f>IF(AND('Mapa final'!$Y$29="Media",'Mapa final'!$AA$29="Mayor"),CONCATENATE("R4C",'Mapa final'!$O$29),"")</f>
        <v/>
      </c>
      <c r="AD29" s="67" t="str">
        <f>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IF(AND('Mapa final'!$Y$28="Media",'Mapa final'!$AA$28="Catastrófico"),CONCATENATE("R4C",'Mapa final'!$O$28),"")</f>
        <v/>
      </c>
      <c r="AI29" s="70" t="str">
        <f>IF(AND('Mapa final'!$Y$29="Media",'Mapa final'!$AA$29="Catastrófico"),CONCATENATE("R4C",'Mapa final'!$O$29),"")</f>
        <v/>
      </c>
      <c r="AJ29" s="70" t="str">
        <f>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402"/>
      <c r="AP29" s="403"/>
      <c r="AQ29" s="403"/>
      <c r="AR29" s="403"/>
      <c r="AS29" s="403"/>
      <c r="AT29" s="404"/>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321"/>
      <c r="C30" s="321"/>
      <c r="D30" s="322"/>
      <c r="E30" s="362"/>
      <c r="F30" s="363"/>
      <c r="G30" s="363"/>
      <c r="H30" s="363"/>
      <c r="I30" s="364"/>
      <c r="J30" s="81" t="str">
        <f>IF(AND('Mapa final'!$Y$34="Media",'Mapa final'!$AA$34="Leve"),CONCATENATE("R5C",'Mapa final'!$O$34),"")</f>
        <v/>
      </c>
      <c r="K30" s="82" t="str">
        <f>IF(AND('Mapa final'!$Y$35="Media",'Mapa final'!$AA$35="Leve"),CONCATENATE("R5C",'Mapa final'!$O$35),"")</f>
        <v/>
      </c>
      <c r="L30" s="82" t="str">
        <f>IF(AND('Mapa final'!$Y$36="Media",'Mapa final'!$AA$36="Leve"),CONCATENATE("R5C",'Mapa final'!$O$36),"")</f>
        <v/>
      </c>
      <c r="M30" s="82" t="str">
        <f>IF(AND('Mapa final'!$Y$37="Media",'Mapa final'!$AA$37="Leve"),CONCATENATE("R5C",'Mapa final'!$O$37),"")</f>
        <v/>
      </c>
      <c r="N30" s="82" t="str">
        <f>IF(AND('Mapa final'!$Y$38="Media",'Mapa final'!$AA$38="Leve"),CONCATENATE("R5C",'Mapa final'!$O$38),"")</f>
        <v/>
      </c>
      <c r="O30" s="83" t="str">
        <f>IF(AND('Mapa final'!$Y$39="Media",'Mapa final'!$AA$39="Leve"),CONCATENATE("R5C",'Mapa final'!$O$39),"")</f>
        <v/>
      </c>
      <c r="P30" s="81" t="str">
        <f>IF(AND('Mapa final'!$Y$34="Media",'Mapa final'!$AA$34="Menor"),CONCATENATE("R5C",'Mapa final'!$O$34),"")</f>
        <v/>
      </c>
      <c r="Q30" s="82" t="str">
        <f>IF(AND('Mapa final'!$Y$35="Media",'Mapa final'!$AA$35="Menor"),CONCATENATE("R5C",'Mapa final'!$O$35),"")</f>
        <v/>
      </c>
      <c r="R30" s="82" t="str">
        <f>IF(AND('Mapa final'!$Y$36="Media",'Mapa final'!$AA$36="Menor"),CONCATENATE("R5C",'Mapa final'!$O$36),"")</f>
        <v/>
      </c>
      <c r="S30" s="82" t="str">
        <f>IF(AND('Mapa final'!$Y$37="Media",'Mapa final'!$AA$37="Menor"),CONCATENATE("R5C",'Mapa final'!$O$37),"")</f>
        <v/>
      </c>
      <c r="T30" s="82" t="str">
        <f>IF(AND('Mapa final'!$Y$38="Media",'Mapa final'!$AA$38="Menor"),CONCATENATE("R5C",'Mapa final'!$O$38),"")</f>
        <v/>
      </c>
      <c r="U30" s="83" t="str">
        <f>IF(AND('Mapa final'!$Y$39="Media",'Mapa final'!$AA$39="Menor"),CONCATENATE("R5C",'Mapa final'!$O$39),"")</f>
        <v/>
      </c>
      <c r="V30" s="81" t="str">
        <f>IF(AND('Mapa final'!$Y$34="Media",'Mapa final'!$AA$34="Moderado"),CONCATENATE("R5C",'Mapa final'!$O$34),"")</f>
        <v/>
      </c>
      <c r="W30" s="82" t="str">
        <f>IF(AND('Mapa final'!$Y$35="Media",'Mapa final'!$AA$35="Moderado"),CONCATENATE("R5C",'Mapa final'!$O$35),"")</f>
        <v/>
      </c>
      <c r="X30" s="82" t="str">
        <f>IF(AND('Mapa final'!$Y$36="Media",'Mapa final'!$AA$36="Moderado"),CONCATENATE("R5C",'Mapa final'!$O$36),"")</f>
        <v/>
      </c>
      <c r="Y30" s="82" t="str">
        <f>IF(AND('Mapa final'!$Y$37="Media",'Mapa final'!$AA$37="Moderado"),CONCATENATE("R5C",'Mapa final'!$O$37),"")</f>
        <v/>
      </c>
      <c r="Z30" s="82" t="str">
        <f>IF(AND('Mapa final'!$Y$38="Media",'Mapa final'!$AA$38="Moderado"),CONCATENATE("R5C",'Mapa final'!$O$38),"")</f>
        <v/>
      </c>
      <c r="AA30" s="83" t="str">
        <f>IF(AND('Mapa final'!$Y$39="Media",'Mapa final'!$AA$39="Moderado"),CONCATENATE("R5C",'Mapa final'!$O$39),"")</f>
        <v/>
      </c>
      <c r="AB30" s="66" t="str">
        <f>IF(AND('Mapa final'!$Y$34="Media",'Mapa final'!$AA$34="Mayor"),CONCATENATE("R5C",'Mapa final'!$O$34),"")</f>
        <v/>
      </c>
      <c r="AC30" s="67" t="str">
        <f>IF(AND('Mapa final'!$Y$35="Media",'Mapa final'!$AA$35="Mayor"),CONCATENATE("R5C",'Mapa final'!$O$35),"")</f>
        <v/>
      </c>
      <c r="AD30" s="67" t="str">
        <f>IF(AND('Mapa final'!$Y$36="Media",'Mapa final'!$AA$36="Mayor"),CONCATENATE("R5C",'Mapa final'!$O$36),"")</f>
        <v/>
      </c>
      <c r="AE30" s="67" t="str">
        <f>IF(AND('Mapa final'!$Y$37="Media",'Mapa final'!$AA$37="Mayor"),CONCATENATE("R5C",'Mapa final'!$O$37),"")</f>
        <v/>
      </c>
      <c r="AF30" s="67" t="str">
        <f>IF(AND('Mapa final'!$Y$38="Media",'Mapa final'!$AA$38="Mayor"),CONCATENATE("R5C",'Mapa final'!$O$38),"")</f>
        <v/>
      </c>
      <c r="AG30" s="68" t="str">
        <f>IF(AND('Mapa final'!$Y$39="Media",'Mapa final'!$AA$39="Mayor"),CONCATENATE("R5C",'Mapa final'!$O$39),"")</f>
        <v/>
      </c>
      <c r="AH30" s="69" t="str">
        <f>IF(AND('Mapa final'!$Y$34="Media",'Mapa final'!$AA$34="Catastrófico"),CONCATENATE("R5C",'Mapa final'!$O$34),"")</f>
        <v/>
      </c>
      <c r="AI30" s="70" t="str">
        <f>IF(AND('Mapa final'!$Y$35="Media",'Mapa final'!$AA$35="Catastrófico"),CONCATENATE("R5C",'Mapa final'!$O$35),"")</f>
        <v/>
      </c>
      <c r="AJ30" s="70" t="str">
        <f>IF(AND('Mapa final'!$Y$36="Media",'Mapa final'!$AA$36="Catastrófico"),CONCATENATE("R5C",'Mapa final'!$O$36),"")</f>
        <v/>
      </c>
      <c r="AK30" s="70" t="str">
        <f>IF(AND('Mapa final'!$Y$37="Media",'Mapa final'!$AA$37="Catastrófico"),CONCATENATE("R5C",'Mapa final'!$O$37),"")</f>
        <v/>
      </c>
      <c r="AL30" s="70" t="str">
        <f>IF(AND('Mapa final'!$Y$38="Media",'Mapa final'!$AA$38="Catastrófico"),CONCATENATE("R5C",'Mapa final'!$O$38),"")</f>
        <v/>
      </c>
      <c r="AM30" s="71" t="str">
        <f>IF(AND('Mapa final'!$Y$39="Media",'Mapa final'!$AA$39="Catastrófico"),CONCATENATE("R5C",'Mapa final'!$O$39),"")</f>
        <v/>
      </c>
      <c r="AN30" s="97"/>
      <c r="AO30" s="402"/>
      <c r="AP30" s="403"/>
      <c r="AQ30" s="403"/>
      <c r="AR30" s="403"/>
      <c r="AS30" s="403"/>
      <c r="AT30" s="404"/>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321"/>
      <c r="C31" s="321"/>
      <c r="D31" s="322"/>
      <c r="E31" s="362"/>
      <c r="F31" s="363"/>
      <c r="G31" s="363"/>
      <c r="H31" s="363"/>
      <c r="I31" s="364"/>
      <c r="J31" s="81" t="str">
        <f>IF(AND('Mapa final'!$Y$40="Media",'Mapa final'!$AA$40="Leve"),CONCATENATE("R6C",'Mapa final'!$O$40),"")</f>
        <v/>
      </c>
      <c r="K31" s="82" t="str">
        <f>IF(AND('Mapa final'!$Y$41="Media",'Mapa final'!$AA$41="Leve"),CONCATENATE("R6C",'Mapa final'!$O$41),"")</f>
        <v/>
      </c>
      <c r="L31" s="82" t="str">
        <f>IF(AND('Mapa final'!$Y$42="Media",'Mapa final'!$AA$42="Leve"),CONCATENATE("R6C",'Mapa final'!$O$42),"")</f>
        <v/>
      </c>
      <c r="M31" s="82" t="str">
        <f>IF(AND('Mapa final'!$Y$43="Media",'Mapa final'!$AA$43="Leve"),CONCATENATE("R6C",'Mapa final'!$O$43),"")</f>
        <v/>
      </c>
      <c r="N31" s="82" t="str">
        <f>IF(AND('Mapa final'!$Y$44="Media",'Mapa final'!$AA$44="Leve"),CONCATENATE("R6C",'Mapa final'!$O$44),"")</f>
        <v/>
      </c>
      <c r="O31" s="83" t="str">
        <f>IF(AND('Mapa final'!$Y$45="Media",'Mapa final'!$AA$45="Leve"),CONCATENATE("R6C",'Mapa final'!$O$45),"")</f>
        <v/>
      </c>
      <c r="P31" s="81" t="str">
        <f>IF(AND('Mapa final'!$Y$40="Media",'Mapa final'!$AA$40="Menor"),CONCATENATE("R6C",'Mapa final'!$O$40),"")</f>
        <v/>
      </c>
      <c r="Q31" s="82" t="str">
        <f>IF(AND('Mapa final'!$Y$41="Media",'Mapa final'!$AA$41="Menor"),CONCATENATE("R6C",'Mapa final'!$O$41),"")</f>
        <v/>
      </c>
      <c r="R31" s="82" t="str">
        <f>IF(AND('Mapa final'!$Y$42="Media",'Mapa final'!$AA$42="Menor"),CONCATENATE("R6C",'Mapa final'!$O$42),"")</f>
        <v/>
      </c>
      <c r="S31" s="82" t="str">
        <f>IF(AND('Mapa final'!$Y$43="Media",'Mapa final'!$AA$43="Menor"),CONCATENATE("R6C",'Mapa final'!$O$43),"")</f>
        <v/>
      </c>
      <c r="T31" s="82" t="str">
        <f>IF(AND('Mapa final'!$Y$44="Media",'Mapa final'!$AA$44="Menor"),CONCATENATE("R6C",'Mapa final'!$O$44),"")</f>
        <v/>
      </c>
      <c r="U31" s="83" t="str">
        <f>IF(AND('Mapa final'!$Y$45="Media",'Mapa final'!$AA$45="Menor"),CONCATENATE("R6C",'Mapa final'!$O$45),"")</f>
        <v/>
      </c>
      <c r="V31" s="81" t="str">
        <f>IF(AND('Mapa final'!$Y$40="Media",'Mapa final'!$AA$40="Moderado"),CONCATENATE("R6C",'Mapa final'!$O$40),"")</f>
        <v/>
      </c>
      <c r="W31" s="82" t="str">
        <f>IF(AND('Mapa final'!$Y$41="Media",'Mapa final'!$AA$41="Moderado"),CONCATENATE("R6C",'Mapa final'!$O$41),"")</f>
        <v/>
      </c>
      <c r="X31" s="82" t="str">
        <f>IF(AND('Mapa final'!$Y$42="Media",'Mapa final'!$AA$42="Moderado"),CONCATENATE("R6C",'Mapa final'!$O$42),"")</f>
        <v/>
      </c>
      <c r="Y31" s="82" t="str">
        <f>IF(AND('Mapa final'!$Y$43="Media",'Mapa final'!$AA$43="Moderado"),CONCATENATE("R6C",'Mapa final'!$O$43),"")</f>
        <v/>
      </c>
      <c r="Z31" s="82" t="str">
        <f>IF(AND('Mapa final'!$Y$44="Media",'Mapa final'!$AA$44="Moderado"),CONCATENATE("R6C",'Mapa final'!$O$44),"")</f>
        <v/>
      </c>
      <c r="AA31" s="83" t="str">
        <f>IF(AND('Mapa final'!$Y$45="Media",'Mapa final'!$AA$45="Moderado"),CONCATENATE("R6C",'Mapa final'!$O$45),"")</f>
        <v/>
      </c>
      <c r="AB31" s="66" t="str">
        <f>IF(AND('Mapa final'!$Y$40="Media",'Mapa final'!$AA$40="Mayor"),CONCATENATE("R6C",'Mapa final'!$O$40),"")</f>
        <v/>
      </c>
      <c r="AC31" s="67" t="str">
        <f>IF(AND('Mapa final'!$Y$41="Media",'Mapa final'!$AA$41="Mayor"),CONCATENATE("R6C",'Mapa final'!$O$41),"")</f>
        <v/>
      </c>
      <c r="AD31" s="67" t="str">
        <f>IF(AND('Mapa final'!$Y$42="Media",'Mapa final'!$AA$42="Mayor"),CONCATENATE("R6C",'Mapa final'!$O$42),"")</f>
        <v/>
      </c>
      <c r="AE31" s="67" t="str">
        <f>IF(AND('Mapa final'!$Y$43="Media",'Mapa final'!$AA$43="Mayor"),CONCATENATE("R6C",'Mapa final'!$O$43),"")</f>
        <v/>
      </c>
      <c r="AF31" s="67" t="str">
        <f>IF(AND('Mapa final'!$Y$44="Media",'Mapa final'!$AA$44="Mayor"),CONCATENATE("R6C",'Mapa final'!$O$44),"")</f>
        <v/>
      </c>
      <c r="AG31" s="68" t="str">
        <f>IF(AND('Mapa final'!$Y$45="Media",'Mapa final'!$AA$45="Mayor"),CONCATENATE("R6C",'Mapa final'!$O$45),"")</f>
        <v/>
      </c>
      <c r="AH31" s="69" t="str">
        <f>IF(AND('Mapa final'!$Y$40="Media",'Mapa final'!$AA$40="Catastrófico"),CONCATENATE("R6C",'Mapa final'!$O$40),"")</f>
        <v/>
      </c>
      <c r="AI31" s="70" t="str">
        <f>IF(AND('Mapa final'!$Y$41="Media",'Mapa final'!$AA$41="Catastrófico"),CONCATENATE("R6C",'Mapa final'!$O$41),"")</f>
        <v/>
      </c>
      <c r="AJ31" s="70" t="str">
        <f>IF(AND('Mapa final'!$Y$42="Media",'Mapa final'!$AA$42="Catastrófico"),CONCATENATE("R6C",'Mapa final'!$O$42),"")</f>
        <v/>
      </c>
      <c r="AK31" s="70" t="str">
        <f>IF(AND('Mapa final'!$Y$43="Media",'Mapa final'!$AA$43="Catastrófico"),CONCATENATE("R6C",'Mapa final'!$O$43),"")</f>
        <v/>
      </c>
      <c r="AL31" s="70" t="str">
        <f>IF(AND('Mapa final'!$Y$44="Media",'Mapa final'!$AA$44="Catastrófico"),CONCATENATE("R6C",'Mapa final'!$O$44),"")</f>
        <v/>
      </c>
      <c r="AM31" s="71" t="str">
        <f>IF(AND('Mapa final'!$Y$45="Media",'Mapa final'!$AA$45="Catastrófico"),CONCATENATE("R6C",'Mapa final'!$O$45),"")</f>
        <v/>
      </c>
      <c r="AN31" s="97"/>
      <c r="AO31" s="402"/>
      <c r="AP31" s="403"/>
      <c r="AQ31" s="403"/>
      <c r="AR31" s="403"/>
      <c r="AS31" s="403"/>
      <c r="AT31" s="404"/>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321"/>
      <c r="C32" s="321"/>
      <c r="D32" s="322"/>
      <c r="E32" s="362"/>
      <c r="F32" s="363"/>
      <c r="G32" s="363"/>
      <c r="H32" s="363"/>
      <c r="I32" s="364"/>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402"/>
      <c r="AP32" s="403"/>
      <c r="AQ32" s="403"/>
      <c r="AR32" s="403"/>
      <c r="AS32" s="403"/>
      <c r="AT32" s="404"/>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321"/>
      <c r="C33" s="321"/>
      <c r="D33" s="322"/>
      <c r="E33" s="362"/>
      <c r="F33" s="363"/>
      <c r="G33" s="363"/>
      <c r="H33" s="363"/>
      <c r="I33" s="364"/>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402"/>
      <c r="AP33" s="403"/>
      <c r="AQ33" s="403"/>
      <c r="AR33" s="403"/>
      <c r="AS33" s="403"/>
      <c r="AT33" s="404"/>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321"/>
      <c r="C34" s="321"/>
      <c r="D34" s="322"/>
      <c r="E34" s="362"/>
      <c r="F34" s="363"/>
      <c r="G34" s="363"/>
      <c r="H34" s="363"/>
      <c r="I34" s="364"/>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402"/>
      <c r="AP34" s="403"/>
      <c r="AQ34" s="403"/>
      <c r="AR34" s="403"/>
      <c r="AS34" s="403"/>
      <c r="AT34" s="404"/>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321"/>
      <c r="C35" s="321"/>
      <c r="D35" s="322"/>
      <c r="E35" s="365"/>
      <c r="F35" s="366"/>
      <c r="G35" s="366"/>
      <c r="H35" s="366"/>
      <c r="I35" s="367"/>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405"/>
      <c r="AP35" s="406"/>
      <c r="AQ35" s="406"/>
      <c r="AR35" s="406"/>
      <c r="AS35" s="406"/>
      <c r="AT35" s="40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321"/>
      <c r="C36" s="321"/>
      <c r="D36" s="322"/>
      <c r="E36" s="359" t="s">
        <v>114</v>
      </c>
      <c r="F36" s="360"/>
      <c r="G36" s="360"/>
      <c r="H36" s="360"/>
      <c r="I36" s="360"/>
      <c r="J36" s="87" t="str">
        <f>IF(AND('Mapa final'!$Y$10="Baja",'Mapa final'!$AA$10="Leve"),CONCATENATE("R1C",'Mapa final'!$O$10),"")</f>
        <v/>
      </c>
      <c r="K36" s="88" t="str">
        <f>IF(AND('Mapa final'!$Y$11="Baja",'Mapa final'!$AA$11="Leve"),CONCATENATE("R1C",'Mapa final'!$O$11),"")</f>
        <v/>
      </c>
      <c r="L36" s="88" t="str">
        <f>IF(AND('Mapa final'!$Y$12="Baja",'Mapa final'!$AA$12="Leve"),CONCATENATE("R1C",'Mapa final'!$O$12),"")</f>
        <v/>
      </c>
      <c r="M36" s="88" t="str">
        <f>IF(AND('Mapa final'!$Y$13="Baja",'Mapa final'!$AA$13="Leve"),CONCATENATE("R1C",'Mapa final'!$O$13),"")</f>
        <v/>
      </c>
      <c r="N36" s="88" t="str">
        <f>IF(AND('Mapa final'!$Y$14="Baja",'Mapa final'!$AA$14="Leve"),CONCATENATE("R1C",'Mapa final'!$O$14),"")</f>
        <v/>
      </c>
      <c r="O36" s="89" t="str">
        <f>IF(AND('Mapa final'!$Y$15="Baja",'Mapa final'!$AA$15="Leve"),CONCATENATE("R1C",'Mapa final'!$O$15),"")</f>
        <v/>
      </c>
      <c r="P36" s="78" t="str">
        <f>IF(AND('Mapa final'!$Y$10="Baja",'Mapa final'!$AA$10="Menor"),CONCATENATE("R1C",'Mapa final'!$O$10),"")</f>
        <v/>
      </c>
      <c r="Q36" s="79" t="str">
        <f>IF(AND('Mapa final'!$Y$11="Baja",'Mapa final'!$AA$11="Menor"),CONCATENATE("R1C",'Mapa final'!$O$11),"")</f>
        <v/>
      </c>
      <c r="R36" s="79" t="str">
        <f>IF(AND('Mapa final'!$Y$12="Baja",'Mapa final'!$AA$12="Menor"),CONCATENATE("R1C",'Mapa final'!$O$12),"")</f>
        <v/>
      </c>
      <c r="S36" s="79" t="str">
        <f>IF(AND('Mapa final'!$Y$13="Baja",'Mapa final'!$AA$13="Menor"),CONCATENATE("R1C",'Mapa final'!$O$13),"")</f>
        <v/>
      </c>
      <c r="T36" s="79" t="str">
        <f>IF(AND('Mapa final'!$Y$14="Baja",'Mapa final'!$AA$14="Menor"),CONCATENATE("R1C",'Mapa final'!$O$14),"")</f>
        <v/>
      </c>
      <c r="U36" s="80" t="str">
        <f>IF(AND('Mapa final'!$Y$15="Baja",'Mapa final'!$AA$15="Menor"),CONCATENATE("R1C",'Mapa final'!$O$15),"")</f>
        <v/>
      </c>
      <c r="V36" s="78" t="str">
        <f>IF(AND('Mapa final'!$Y$10="Baja",'Mapa final'!$AA$10="Moderado"),CONCATENATE("R1C",'Mapa final'!$O$10),"")</f>
        <v/>
      </c>
      <c r="W36" s="79" t="str">
        <f>IF(AND('Mapa final'!$Y$11="Baja",'Mapa final'!$AA$11="Moderado"),CONCATENATE("R1C",'Mapa final'!$O$11),"")</f>
        <v/>
      </c>
      <c r="X36" s="79" t="str">
        <f>IF(AND('Mapa final'!$Y$12="Baja",'Mapa final'!$AA$12="Moderado"),CONCATENATE("R1C",'Mapa final'!$O$12),"")</f>
        <v/>
      </c>
      <c r="Y36" s="79" t="str">
        <f>IF(AND('Mapa final'!$Y$13="Baja",'Mapa final'!$AA$13="Moderado"),CONCATENATE("R1C",'Mapa final'!$O$13),"")</f>
        <v/>
      </c>
      <c r="Z36" s="79" t="str">
        <f>IF(AND('Mapa final'!$Y$14="Baja",'Mapa final'!$AA$14="Moderado"),CONCATENATE("R1C",'Mapa final'!$O$14),"")</f>
        <v/>
      </c>
      <c r="AA36" s="80" t="str">
        <f>IF(AND('Mapa final'!$Y$15="Baja",'Mapa final'!$AA$15="Moderado"),CONCATENATE("R1C",'Mapa final'!$O$15),"")</f>
        <v/>
      </c>
      <c r="AB36" s="60" t="str">
        <f>IF(AND('Mapa final'!$Y$10="Baja",'Mapa final'!$AA$10="Mayor"),CONCATENATE("R1C",'Mapa final'!$O$10),"")</f>
        <v/>
      </c>
      <c r="AC36" s="61" t="str">
        <f>IF(AND('Mapa final'!$Y$11="Baja",'Mapa final'!$AA$11="Mayor"),CONCATENATE("R1C",'Mapa final'!$O$11),"")</f>
        <v>R1C2</v>
      </c>
      <c r="AD36" s="61" t="str">
        <f>IF(AND('Mapa final'!$Y$12="Baja",'Mapa final'!$AA$12="Mayor"),CONCATENATE("R1C",'Mapa final'!$O$12),"")</f>
        <v/>
      </c>
      <c r="AE36" s="61" t="str">
        <f>IF(AND('Mapa final'!$Y$13="Baja",'Mapa final'!$AA$13="Mayor"),CONCATENATE("R1C",'Mapa final'!$O$13),"")</f>
        <v/>
      </c>
      <c r="AF36" s="61" t="str">
        <f>IF(AND('Mapa final'!$Y$14="Baja",'Mapa final'!$AA$14="Mayor"),CONCATENATE("R1C",'Mapa final'!$O$14),"")</f>
        <v/>
      </c>
      <c r="AG36" s="62" t="str">
        <f>IF(AND('Mapa final'!$Y$15="Baja",'Mapa final'!$AA$15="Mayor"),CONCATENATE("R1C",'Mapa final'!$O$15),"")</f>
        <v/>
      </c>
      <c r="AH36" s="63" t="str">
        <f>IF(AND('Mapa final'!$Y$10="Baja",'Mapa final'!$AA$10="Catastrófico"),CONCATENATE("R1C",'Mapa final'!$O$10),"")</f>
        <v/>
      </c>
      <c r="AI36" s="64" t="str">
        <f>IF(AND('Mapa final'!$Y$11="Baja",'Mapa final'!$AA$11="Catastrófico"),CONCATENATE("R1C",'Mapa final'!$O$11),"")</f>
        <v/>
      </c>
      <c r="AJ36" s="64" t="str">
        <f>IF(AND('Mapa final'!$Y$12="Baja",'Mapa final'!$AA$12="Catastrófico"),CONCATENATE("R1C",'Mapa final'!$O$12),"")</f>
        <v/>
      </c>
      <c r="AK36" s="64" t="str">
        <f>IF(AND('Mapa final'!$Y$13="Baja",'Mapa final'!$AA$13="Catastrófico"),CONCATENATE("R1C",'Mapa final'!$O$13),"")</f>
        <v/>
      </c>
      <c r="AL36" s="64" t="str">
        <f>IF(AND('Mapa final'!$Y$14="Baja",'Mapa final'!$AA$14="Catastrófico"),CONCATENATE("R1C",'Mapa final'!$O$14),"")</f>
        <v/>
      </c>
      <c r="AM36" s="65" t="str">
        <f>IF(AND('Mapa final'!$Y$15="Baja",'Mapa final'!$AA$15="Catastrófico"),CONCATENATE("R1C",'Mapa final'!$O$15),"")</f>
        <v/>
      </c>
      <c r="AN36" s="97"/>
      <c r="AO36" s="390" t="s">
        <v>82</v>
      </c>
      <c r="AP36" s="391"/>
      <c r="AQ36" s="391"/>
      <c r="AR36" s="391"/>
      <c r="AS36" s="391"/>
      <c r="AT36" s="392"/>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321"/>
      <c r="C37" s="321"/>
      <c r="D37" s="322"/>
      <c r="E37" s="378"/>
      <c r="F37" s="363"/>
      <c r="G37" s="363"/>
      <c r="H37" s="363"/>
      <c r="I37" s="363"/>
      <c r="J37" s="90" t="str">
        <f>IF(AND('Mapa final'!$Y$16="Baja",'Mapa final'!$AA$16="Leve"),CONCATENATE("R2C",'Mapa final'!$O$16),"")</f>
        <v/>
      </c>
      <c r="K37" s="91" t="str">
        <f>IF(AND('Mapa final'!$Y$17="Baja",'Mapa final'!$AA$17="Leve"),CONCATENATE("R2C",'Mapa final'!$O$17),"")</f>
        <v/>
      </c>
      <c r="L37" s="91" t="str">
        <f>IF(AND('Mapa final'!$Y$18="Baja",'Mapa final'!$AA$18="Leve"),CONCATENATE("R2C",'Mapa final'!$O$18),"")</f>
        <v/>
      </c>
      <c r="M37" s="91" t="str">
        <f>IF(AND('Mapa final'!$Y$19="Baja",'Mapa final'!$AA$19="Leve"),CONCATENATE("R2C",'Mapa final'!$O$19),"")</f>
        <v/>
      </c>
      <c r="N37" s="91" t="str">
        <f>IF(AND('Mapa final'!$Y$20="Baja",'Mapa final'!$AA$20="Leve"),CONCATENATE("R2C",'Mapa final'!$O$20),"")</f>
        <v/>
      </c>
      <c r="O37" s="92" t="str">
        <f>IF(AND('Mapa final'!$Y$21="Baja",'Mapa final'!$AA$21="Leve"),CONCATENATE("R2C",'Mapa final'!$O$21),"")</f>
        <v/>
      </c>
      <c r="P37" s="81" t="str">
        <f>IF(AND('Mapa final'!$Y$16="Baja",'Mapa final'!$AA$16="Menor"),CONCATENATE("R2C",'Mapa final'!$O$16),"")</f>
        <v/>
      </c>
      <c r="Q37" s="82" t="str">
        <f>IF(AND('Mapa final'!$Y$17="Baja",'Mapa final'!$AA$17="Menor"),CONCATENATE("R2C",'Mapa final'!$O$17),"")</f>
        <v/>
      </c>
      <c r="R37" s="82" t="str">
        <f>IF(AND('Mapa final'!$Y$18="Baja",'Mapa final'!$AA$18="Menor"),CONCATENATE("R2C",'Mapa final'!$O$18),"")</f>
        <v/>
      </c>
      <c r="S37" s="82" t="str">
        <f>IF(AND('Mapa final'!$Y$19="Baja",'Mapa final'!$AA$19="Menor"),CONCATENATE("R2C",'Mapa final'!$O$19),"")</f>
        <v/>
      </c>
      <c r="T37" s="82" t="str">
        <f>IF(AND('Mapa final'!$Y$20="Baja",'Mapa final'!$AA$20="Menor"),CONCATENATE("R2C",'Mapa final'!$O$20),"")</f>
        <v/>
      </c>
      <c r="U37" s="83" t="str">
        <f>IF(AND('Mapa final'!$Y$21="Baja",'Mapa final'!$AA$21="Menor"),CONCATENATE("R2C",'Mapa final'!$O$21),"")</f>
        <v/>
      </c>
      <c r="V37" s="81" t="str">
        <f>IF(AND('Mapa final'!$Y$16="Baja",'Mapa final'!$AA$16="Moderado"),CONCATENATE("R2C",'Mapa final'!$O$16),"")</f>
        <v/>
      </c>
      <c r="W37" s="82" t="str">
        <f>IF(AND('Mapa final'!$Y$17="Baja",'Mapa final'!$AA$17="Moderado"),CONCATENATE("R2C",'Mapa final'!$O$17),"")</f>
        <v/>
      </c>
      <c r="X37" s="82" t="str">
        <f>IF(AND('Mapa final'!$Y$18="Baja",'Mapa final'!$AA$18="Moderado"),CONCATENATE("R2C",'Mapa final'!$O$18),"")</f>
        <v/>
      </c>
      <c r="Y37" s="82" t="str">
        <f>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IF(AND('Mapa final'!$Y$16="Baja",'Mapa final'!$AA$16="Mayor"),CONCATENATE("R2C",'Mapa final'!$O$16),"")</f>
        <v>R2C1</v>
      </c>
      <c r="AC37" s="67" t="str">
        <f>IF(AND('Mapa final'!$Y$17="Baja",'Mapa final'!$AA$17="Mayor"),CONCATENATE("R2C",'Mapa final'!$O$17),"")</f>
        <v>R2C2</v>
      </c>
      <c r="AD37" s="67" t="str">
        <f>IF(AND('Mapa final'!$Y$18="Baja",'Mapa final'!$AA$18="Mayor"),CONCATENATE("R2C",'Mapa final'!$O$18),"")</f>
        <v/>
      </c>
      <c r="AE37" s="67" t="str">
        <f>IF(AND('Mapa final'!$Y$19="Baja",'Mapa final'!$AA$19="Mayor"),CONCATENATE("R2C",'Mapa final'!$O$19),"")</f>
        <v/>
      </c>
      <c r="AF37" s="67" t="str">
        <f>IF(AND('Mapa final'!$Y$20="Baja",'Mapa final'!$AA$20="Mayor"),CONCATENATE("R2C",'Mapa final'!$O$20),"")</f>
        <v/>
      </c>
      <c r="AG37" s="68" t="str">
        <f>IF(AND('Mapa final'!$Y$21="Baja",'Mapa final'!$AA$21="Mayor"),CONCATENATE("R2C",'Mapa final'!$O$21),"")</f>
        <v/>
      </c>
      <c r="AH37" s="69" t="str">
        <f>IF(AND('Mapa final'!$Y$16="Baja",'Mapa final'!$AA$16="Catastrófico"),CONCATENATE("R2C",'Mapa final'!$O$16),"")</f>
        <v/>
      </c>
      <c r="AI37" s="70" t="str">
        <f>IF(AND('Mapa final'!$Y$17="Baja",'Mapa final'!$AA$17="Catastrófico"),CONCATENATE("R2C",'Mapa final'!$O$17),"")</f>
        <v/>
      </c>
      <c r="AJ37" s="70" t="str">
        <f>IF(AND('Mapa final'!$Y$18="Baja",'Mapa final'!$AA$18="Catastrófico"),CONCATENATE("R2C",'Mapa final'!$O$18),"")</f>
        <v/>
      </c>
      <c r="AK37" s="70" t="str">
        <f>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93"/>
      <c r="AP37" s="394"/>
      <c r="AQ37" s="394"/>
      <c r="AR37" s="394"/>
      <c r="AS37" s="394"/>
      <c r="AT37" s="395"/>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321"/>
      <c r="C38" s="321"/>
      <c r="D38" s="322"/>
      <c r="E38" s="362"/>
      <c r="F38" s="363"/>
      <c r="G38" s="363"/>
      <c r="H38" s="363"/>
      <c r="I38" s="363"/>
      <c r="J38" s="90" t="str">
        <f>IF(AND('Mapa final'!$Y$22="Baja",'Mapa final'!$AA$22="Leve"),CONCATENATE("R3C",'Mapa final'!$O$22),"")</f>
        <v/>
      </c>
      <c r="K38" s="91" t="str">
        <f>IF(AND('Mapa final'!$Y$23="Baja",'Mapa final'!$AA$23="Leve"),CONCATENATE("R3C",'Mapa final'!$O$23),"")</f>
        <v/>
      </c>
      <c r="L38" s="91" t="str">
        <f>IF(AND('Mapa final'!$Y$24="Baja",'Mapa final'!$AA$24="Leve"),CONCATENATE("R3C",'Mapa final'!$O$24),"")</f>
        <v/>
      </c>
      <c r="M38" s="91" t="str">
        <f>IF(AND('Mapa final'!$Y$25="Baja",'Mapa final'!$AA$25="Leve"),CONCATENATE("R3C",'Mapa final'!$O$25),"")</f>
        <v/>
      </c>
      <c r="N38" s="91" t="str">
        <f>IF(AND('Mapa final'!$Y$26="Baja",'Mapa final'!$AA$26="Leve"),CONCATENATE("R3C",'Mapa final'!$O$26),"")</f>
        <v/>
      </c>
      <c r="O38" s="92" t="str">
        <f>IF(AND('Mapa final'!$Y$27="Baja",'Mapa final'!$AA$27="Leve"),CONCATENATE("R3C",'Mapa final'!$O$27),"")</f>
        <v/>
      </c>
      <c r="P38" s="81" t="str">
        <f>IF(AND('Mapa final'!$Y$22="Baja",'Mapa final'!$AA$22="Menor"),CONCATENATE("R3C",'Mapa final'!$O$22),"")</f>
        <v/>
      </c>
      <c r="Q38" s="82" t="str">
        <f>IF(AND('Mapa final'!$Y$23="Baja",'Mapa final'!$AA$23="Menor"),CONCATENATE("R3C",'Mapa final'!$O$23),"")</f>
        <v/>
      </c>
      <c r="R38" s="82" t="str">
        <f>IF(AND('Mapa final'!$Y$24="Baja",'Mapa final'!$AA$24="Menor"),CONCATENATE("R3C",'Mapa final'!$O$24),"")</f>
        <v/>
      </c>
      <c r="S38" s="82" t="str">
        <f>IF(AND('Mapa final'!$Y$25="Baja",'Mapa final'!$AA$25="Menor"),CONCATENATE("R3C",'Mapa final'!$O$25),"")</f>
        <v/>
      </c>
      <c r="T38" s="82" t="str">
        <f>IF(AND('Mapa final'!$Y$26="Baja",'Mapa final'!$AA$26="Menor"),CONCATENATE("R3C",'Mapa final'!$O$26),"")</f>
        <v/>
      </c>
      <c r="U38" s="83" t="str">
        <f>IF(AND('Mapa final'!$Y$27="Baja",'Mapa final'!$AA$27="Menor"),CONCATENATE("R3C",'Mapa final'!$O$27),"")</f>
        <v/>
      </c>
      <c r="V38" s="81" t="str">
        <f>IF(AND('Mapa final'!$Y$22="Baja",'Mapa final'!$AA$22="Moderado"),CONCATENATE("R3C",'Mapa final'!$O$22),"")</f>
        <v/>
      </c>
      <c r="W38" s="82" t="str">
        <f>IF(AND('Mapa final'!$Y$23="Baja",'Mapa final'!$AA$23="Moderado"),CONCATENATE("R3C",'Mapa final'!$O$23),"")</f>
        <v/>
      </c>
      <c r="X38" s="82" t="str">
        <f>IF(AND('Mapa final'!$Y$24="Baja",'Mapa final'!$AA$24="Moderado"),CONCATENATE("R3C",'Mapa final'!$O$24),"")</f>
        <v/>
      </c>
      <c r="Y38" s="82" t="str">
        <f>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IF(AND('Mapa final'!$Y$22="Baja",'Mapa final'!$AA$22="Mayor"),CONCATENATE("R3C",'Mapa final'!$O$22),"")</f>
        <v/>
      </c>
      <c r="AC38" s="67" t="str">
        <f>IF(AND('Mapa final'!$Y$23="Baja",'Mapa final'!$AA$23="Mayor"),CONCATENATE("R3C",'Mapa final'!$O$23),"")</f>
        <v/>
      </c>
      <c r="AD38" s="67" t="str">
        <f>IF(AND('Mapa final'!$Y$24="Baja",'Mapa final'!$AA$24="Mayor"),CONCATENATE("R3C",'Mapa final'!$O$24),"")</f>
        <v/>
      </c>
      <c r="AE38" s="67" t="str">
        <f>IF(AND('Mapa final'!$Y$25="Baja",'Mapa final'!$AA$25="Mayor"),CONCATENATE("R3C",'Mapa final'!$O$25),"")</f>
        <v/>
      </c>
      <c r="AF38" s="67" t="str">
        <f>IF(AND('Mapa final'!$Y$26="Baja",'Mapa final'!$AA$26="Mayor"),CONCATENATE("R3C",'Mapa final'!$O$26),"")</f>
        <v/>
      </c>
      <c r="AG38" s="68" t="str">
        <f>IF(AND('Mapa final'!$Y$27="Baja",'Mapa final'!$AA$27="Mayor"),CONCATENATE("R3C",'Mapa final'!$O$27),"")</f>
        <v/>
      </c>
      <c r="AH38" s="69" t="str">
        <f>IF(AND('Mapa final'!$Y$22="Baja",'Mapa final'!$AA$22="Catastrófico"),CONCATENATE("R3C",'Mapa final'!$O$22),"")</f>
        <v/>
      </c>
      <c r="AI38" s="70" t="str">
        <f>IF(AND('Mapa final'!$Y$23="Baja",'Mapa final'!$AA$23="Catastrófico"),CONCATENATE("R3C",'Mapa final'!$O$23),"")</f>
        <v/>
      </c>
      <c r="AJ38" s="70" t="str">
        <f>IF(AND('Mapa final'!$Y$24="Baja",'Mapa final'!$AA$24="Catastrófico"),CONCATENATE("R3C",'Mapa final'!$O$24),"")</f>
        <v/>
      </c>
      <c r="AK38" s="70" t="str">
        <f>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93"/>
      <c r="AP38" s="394"/>
      <c r="AQ38" s="394"/>
      <c r="AR38" s="394"/>
      <c r="AS38" s="394"/>
      <c r="AT38" s="395"/>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321"/>
      <c r="C39" s="321"/>
      <c r="D39" s="322"/>
      <c r="E39" s="362"/>
      <c r="F39" s="363"/>
      <c r="G39" s="363"/>
      <c r="H39" s="363"/>
      <c r="I39" s="363"/>
      <c r="J39" s="90" t="str">
        <f>IF(AND('Mapa final'!$Y$28="Baja",'Mapa final'!$AA$28="Leve"),CONCATENATE("R4C",'Mapa final'!$O$28),"")</f>
        <v/>
      </c>
      <c r="K39" s="91" t="str">
        <f>IF(AND('Mapa final'!$Y$29="Baja",'Mapa final'!$AA$29="Leve"),CONCATENATE("R4C",'Mapa final'!$O$29),"")</f>
        <v/>
      </c>
      <c r="L39" s="91" t="str">
        <f>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IF(AND('Mapa final'!$Y$28="Baja",'Mapa final'!$AA$28="Menor"),CONCATENATE("R4C",'Mapa final'!$O$28),"")</f>
        <v/>
      </c>
      <c r="Q39" s="82" t="str">
        <f>IF(AND('Mapa final'!$Y$29="Baja",'Mapa final'!$AA$29="Menor"),CONCATENATE("R4C",'Mapa final'!$O$29),"")</f>
        <v/>
      </c>
      <c r="R39" s="82" t="str">
        <f>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IF(AND('Mapa final'!$Y$28="Baja",'Mapa final'!$AA$28="Moderado"),CONCATENATE("R4C",'Mapa final'!$O$28),"")</f>
        <v/>
      </c>
      <c r="W39" s="82" t="str">
        <f>IF(AND('Mapa final'!$Y$29="Baja",'Mapa final'!$AA$29="Moderado"),CONCATENATE("R4C",'Mapa final'!$O$29),"")</f>
        <v/>
      </c>
      <c r="X39" s="82" t="str">
        <f>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IF(AND('Mapa final'!$Y$28="Baja",'Mapa final'!$AA$28="Mayor"),CONCATENATE("R4C",'Mapa final'!$O$28),"")</f>
        <v/>
      </c>
      <c r="AC39" s="67" t="str">
        <f>IF(AND('Mapa final'!$Y$29="Baja",'Mapa final'!$AA$29="Mayor"),CONCATENATE("R4C",'Mapa final'!$O$29),"")</f>
        <v/>
      </c>
      <c r="AD39" s="67" t="str">
        <f>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IF(AND('Mapa final'!$Y$28="Baja",'Mapa final'!$AA$28="Catastrófico"),CONCATENATE("R4C",'Mapa final'!$O$28),"")</f>
        <v/>
      </c>
      <c r="AI39" s="70" t="str">
        <f>IF(AND('Mapa final'!$Y$29="Baja",'Mapa final'!$AA$29="Catastrófico"),CONCATENATE("R4C",'Mapa final'!$O$29),"")</f>
        <v/>
      </c>
      <c r="AJ39" s="70" t="str">
        <f>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93"/>
      <c r="AP39" s="394"/>
      <c r="AQ39" s="394"/>
      <c r="AR39" s="394"/>
      <c r="AS39" s="394"/>
      <c r="AT39" s="395"/>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321"/>
      <c r="C40" s="321"/>
      <c r="D40" s="322"/>
      <c r="E40" s="362"/>
      <c r="F40" s="363"/>
      <c r="G40" s="363"/>
      <c r="H40" s="363"/>
      <c r="I40" s="363"/>
      <c r="J40" s="90" t="str">
        <f>IF(AND('Mapa final'!$Y$34="Baja",'Mapa final'!$AA$34="Leve"),CONCATENATE("R5C",'Mapa final'!$O$34),"")</f>
        <v/>
      </c>
      <c r="K40" s="91" t="str">
        <f>IF(AND('Mapa final'!$Y$35="Baja",'Mapa final'!$AA$35="Leve"),CONCATENATE("R5C",'Mapa final'!$O$35),"")</f>
        <v/>
      </c>
      <c r="L40" s="91" t="str">
        <f>IF(AND('Mapa final'!$Y$36="Baja",'Mapa final'!$AA$36="Leve"),CONCATENATE("R5C",'Mapa final'!$O$36),"")</f>
        <v/>
      </c>
      <c r="M40" s="91" t="str">
        <f>IF(AND('Mapa final'!$Y$37="Baja",'Mapa final'!$AA$37="Leve"),CONCATENATE("R5C",'Mapa final'!$O$37),"")</f>
        <v/>
      </c>
      <c r="N40" s="91" t="str">
        <f>IF(AND('Mapa final'!$Y$38="Baja",'Mapa final'!$AA$38="Leve"),CONCATENATE("R5C",'Mapa final'!$O$38),"")</f>
        <v/>
      </c>
      <c r="O40" s="92" t="str">
        <f>IF(AND('Mapa final'!$Y$39="Baja",'Mapa final'!$AA$39="Leve"),CONCATENATE("R5C",'Mapa final'!$O$39),"")</f>
        <v/>
      </c>
      <c r="P40" s="81" t="str">
        <f>IF(AND('Mapa final'!$Y$34="Baja",'Mapa final'!$AA$34="Menor"),CONCATENATE("R5C",'Mapa final'!$O$34),"")</f>
        <v/>
      </c>
      <c r="Q40" s="82" t="str">
        <f>IF(AND('Mapa final'!$Y$35="Baja",'Mapa final'!$AA$35="Menor"),CONCATENATE("R5C",'Mapa final'!$O$35),"")</f>
        <v/>
      </c>
      <c r="R40" s="82" t="str">
        <f>IF(AND('Mapa final'!$Y$36="Baja",'Mapa final'!$AA$36="Menor"),CONCATENATE("R5C",'Mapa final'!$O$36),"")</f>
        <v/>
      </c>
      <c r="S40" s="82" t="str">
        <f>IF(AND('Mapa final'!$Y$37="Baja",'Mapa final'!$AA$37="Menor"),CONCATENATE("R5C",'Mapa final'!$O$37),"")</f>
        <v/>
      </c>
      <c r="T40" s="82" t="str">
        <f>IF(AND('Mapa final'!$Y$38="Baja",'Mapa final'!$AA$38="Menor"),CONCATENATE("R5C",'Mapa final'!$O$38),"")</f>
        <v/>
      </c>
      <c r="U40" s="83" t="str">
        <f>IF(AND('Mapa final'!$Y$39="Baja",'Mapa final'!$AA$39="Menor"),CONCATENATE("R5C",'Mapa final'!$O$39),"")</f>
        <v/>
      </c>
      <c r="V40" s="81" t="str">
        <f>IF(AND('Mapa final'!$Y$34="Baja",'Mapa final'!$AA$34="Moderado"),CONCATENATE("R5C",'Mapa final'!$O$34),"")</f>
        <v/>
      </c>
      <c r="W40" s="82" t="str">
        <f>IF(AND('Mapa final'!$Y$35="Baja",'Mapa final'!$AA$35="Moderado"),CONCATENATE("R5C",'Mapa final'!$O$35),"")</f>
        <v/>
      </c>
      <c r="X40" s="82" t="str">
        <f>IF(AND('Mapa final'!$Y$36="Baja",'Mapa final'!$AA$36="Moderado"),CONCATENATE("R5C",'Mapa final'!$O$36),"")</f>
        <v/>
      </c>
      <c r="Y40" s="82" t="str">
        <f>IF(AND('Mapa final'!$Y$37="Baja",'Mapa final'!$AA$37="Moderado"),CONCATENATE("R5C",'Mapa final'!$O$37),"")</f>
        <v/>
      </c>
      <c r="Z40" s="82" t="str">
        <f>IF(AND('Mapa final'!$Y$38="Baja",'Mapa final'!$AA$38="Moderado"),CONCATENATE("R5C",'Mapa final'!$O$38),"")</f>
        <v/>
      </c>
      <c r="AA40" s="83" t="str">
        <f>IF(AND('Mapa final'!$Y$39="Baja",'Mapa final'!$AA$39="Moderado"),CONCATENATE("R5C",'Mapa final'!$O$39),"")</f>
        <v/>
      </c>
      <c r="AB40" s="66" t="str">
        <f>IF(AND('Mapa final'!$Y$34="Baja",'Mapa final'!$AA$34="Mayor"),CONCATENATE("R5C",'Mapa final'!$O$34),"")</f>
        <v/>
      </c>
      <c r="AC40" s="67" t="str">
        <f>IF(AND('Mapa final'!$Y$35="Baja",'Mapa final'!$AA$35="Mayor"),CONCATENATE("R5C",'Mapa final'!$O$35),"")</f>
        <v/>
      </c>
      <c r="AD40" s="67" t="str">
        <f>IF(AND('Mapa final'!$Y$36="Baja",'Mapa final'!$AA$36="Mayor"),CONCATENATE("R5C",'Mapa final'!$O$36),"")</f>
        <v/>
      </c>
      <c r="AE40" s="67" t="str">
        <f>IF(AND('Mapa final'!$Y$37="Baja",'Mapa final'!$AA$37="Mayor"),CONCATENATE("R5C",'Mapa final'!$O$37),"")</f>
        <v/>
      </c>
      <c r="AF40" s="67" t="str">
        <f>IF(AND('Mapa final'!$Y$38="Baja",'Mapa final'!$AA$38="Mayor"),CONCATENATE("R5C",'Mapa final'!$O$38),"")</f>
        <v/>
      </c>
      <c r="AG40" s="68" t="str">
        <f>IF(AND('Mapa final'!$Y$39="Baja",'Mapa final'!$AA$39="Mayor"),CONCATENATE("R5C",'Mapa final'!$O$39),"")</f>
        <v/>
      </c>
      <c r="AH40" s="69" t="str">
        <f>IF(AND('Mapa final'!$Y$34="Baja",'Mapa final'!$AA$34="Catastrófico"),CONCATENATE("R5C",'Mapa final'!$O$34),"")</f>
        <v/>
      </c>
      <c r="AI40" s="70" t="str">
        <f>IF(AND('Mapa final'!$Y$35="Baja",'Mapa final'!$AA$35="Catastrófico"),CONCATENATE("R5C",'Mapa final'!$O$35),"")</f>
        <v/>
      </c>
      <c r="AJ40" s="70" t="str">
        <f>IF(AND('Mapa final'!$Y$36="Baja",'Mapa final'!$AA$36="Catastrófico"),CONCATENATE("R5C",'Mapa final'!$O$36),"")</f>
        <v/>
      </c>
      <c r="AK40" s="70" t="str">
        <f>IF(AND('Mapa final'!$Y$37="Baja",'Mapa final'!$AA$37="Catastrófico"),CONCATENATE("R5C",'Mapa final'!$O$37),"")</f>
        <v/>
      </c>
      <c r="AL40" s="70" t="str">
        <f>IF(AND('Mapa final'!$Y$38="Baja",'Mapa final'!$AA$38="Catastrófico"),CONCATENATE("R5C",'Mapa final'!$O$38),"")</f>
        <v/>
      </c>
      <c r="AM40" s="71" t="str">
        <f>IF(AND('Mapa final'!$Y$39="Baja",'Mapa final'!$AA$39="Catastrófico"),CONCATENATE("R5C",'Mapa final'!$O$39),"")</f>
        <v/>
      </c>
      <c r="AN40" s="97"/>
      <c r="AO40" s="393"/>
      <c r="AP40" s="394"/>
      <c r="AQ40" s="394"/>
      <c r="AR40" s="394"/>
      <c r="AS40" s="394"/>
      <c r="AT40" s="395"/>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321"/>
      <c r="C41" s="321"/>
      <c r="D41" s="322"/>
      <c r="E41" s="362"/>
      <c r="F41" s="363"/>
      <c r="G41" s="363"/>
      <c r="H41" s="363"/>
      <c r="I41" s="363"/>
      <c r="J41" s="90" t="str">
        <f>IF(AND('Mapa final'!$Y$40="Baja",'Mapa final'!$AA$40="Leve"),CONCATENATE("R6C",'Mapa final'!$O$40),"")</f>
        <v/>
      </c>
      <c r="K41" s="91" t="str">
        <f>IF(AND('Mapa final'!$Y$41="Baja",'Mapa final'!$AA$41="Leve"),CONCATENATE("R6C",'Mapa final'!$O$41),"")</f>
        <v/>
      </c>
      <c r="L41" s="91" t="str">
        <f>IF(AND('Mapa final'!$Y$42="Baja",'Mapa final'!$AA$42="Leve"),CONCATENATE("R6C",'Mapa final'!$O$42),"")</f>
        <v/>
      </c>
      <c r="M41" s="91" t="str">
        <f>IF(AND('Mapa final'!$Y$43="Baja",'Mapa final'!$AA$43="Leve"),CONCATENATE("R6C",'Mapa final'!$O$43),"")</f>
        <v/>
      </c>
      <c r="N41" s="91" t="str">
        <f>IF(AND('Mapa final'!$Y$44="Baja",'Mapa final'!$AA$44="Leve"),CONCATENATE("R6C",'Mapa final'!$O$44),"")</f>
        <v/>
      </c>
      <c r="O41" s="92" t="str">
        <f>IF(AND('Mapa final'!$Y$45="Baja",'Mapa final'!$AA$45="Leve"),CONCATENATE("R6C",'Mapa final'!$O$45),"")</f>
        <v/>
      </c>
      <c r="P41" s="81" t="str">
        <f>IF(AND('Mapa final'!$Y$40="Baja",'Mapa final'!$AA$40="Menor"),CONCATENATE("R6C",'Mapa final'!$O$40),"")</f>
        <v/>
      </c>
      <c r="Q41" s="82" t="str">
        <f>IF(AND('Mapa final'!$Y$41="Baja",'Mapa final'!$AA$41="Menor"),CONCATENATE("R6C",'Mapa final'!$O$41),"")</f>
        <v/>
      </c>
      <c r="R41" s="82" t="str">
        <f>IF(AND('Mapa final'!$Y$42="Baja",'Mapa final'!$AA$42="Menor"),CONCATENATE("R6C",'Mapa final'!$O$42),"")</f>
        <v/>
      </c>
      <c r="S41" s="82" t="str">
        <f>IF(AND('Mapa final'!$Y$43="Baja",'Mapa final'!$AA$43="Menor"),CONCATENATE("R6C",'Mapa final'!$O$43),"")</f>
        <v/>
      </c>
      <c r="T41" s="82" t="str">
        <f>IF(AND('Mapa final'!$Y$44="Baja",'Mapa final'!$AA$44="Menor"),CONCATENATE("R6C",'Mapa final'!$O$44),"")</f>
        <v/>
      </c>
      <c r="U41" s="83" t="str">
        <f>IF(AND('Mapa final'!$Y$45="Baja",'Mapa final'!$AA$45="Menor"),CONCATENATE("R6C",'Mapa final'!$O$45),"")</f>
        <v/>
      </c>
      <c r="V41" s="81" t="str">
        <f>IF(AND('Mapa final'!$Y$40="Baja",'Mapa final'!$AA$40="Moderado"),CONCATENATE("R6C",'Mapa final'!$O$40),"")</f>
        <v/>
      </c>
      <c r="W41" s="82" t="str">
        <f>IF(AND('Mapa final'!$Y$41="Baja",'Mapa final'!$AA$41="Moderado"),CONCATENATE("R6C",'Mapa final'!$O$41),"")</f>
        <v/>
      </c>
      <c r="X41" s="82" t="str">
        <f>IF(AND('Mapa final'!$Y$42="Baja",'Mapa final'!$AA$42="Moderado"),CONCATENATE("R6C",'Mapa final'!$O$42),"")</f>
        <v/>
      </c>
      <c r="Y41" s="82" t="str">
        <f>IF(AND('Mapa final'!$Y$43="Baja",'Mapa final'!$AA$43="Moderado"),CONCATENATE("R6C",'Mapa final'!$O$43),"")</f>
        <v/>
      </c>
      <c r="Z41" s="82" t="str">
        <f>IF(AND('Mapa final'!$Y$44="Baja",'Mapa final'!$AA$44="Moderado"),CONCATENATE("R6C",'Mapa final'!$O$44),"")</f>
        <v/>
      </c>
      <c r="AA41" s="83" t="str">
        <f>IF(AND('Mapa final'!$Y$45="Baja",'Mapa final'!$AA$45="Moderado"),CONCATENATE("R6C",'Mapa final'!$O$45),"")</f>
        <v/>
      </c>
      <c r="AB41" s="66" t="str">
        <f>IF(AND('Mapa final'!$Y$40="Baja",'Mapa final'!$AA$40="Mayor"),CONCATENATE("R6C",'Mapa final'!$O$40),"")</f>
        <v/>
      </c>
      <c r="AC41" s="67" t="str">
        <f>IF(AND('Mapa final'!$Y$41="Baja",'Mapa final'!$AA$41="Mayor"),CONCATENATE("R6C",'Mapa final'!$O$41),"")</f>
        <v/>
      </c>
      <c r="AD41" s="67" t="str">
        <f>IF(AND('Mapa final'!$Y$42="Baja",'Mapa final'!$AA$42="Mayor"),CONCATENATE("R6C",'Mapa final'!$O$42),"")</f>
        <v/>
      </c>
      <c r="AE41" s="67" t="str">
        <f>IF(AND('Mapa final'!$Y$43="Baja",'Mapa final'!$AA$43="Mayor"),CONCATENATE("R6C",'Mapa final'!$O$43),"")</f>
        <v/>
      </c>
      <c r="AF41" s="67" t="str">
        <f>IF(AND('Mapa final'!$Y$44="Baja",'Mapa final'!$AA$44="Mayor"),CONCATENATE("R6C",'Mapa final'!$O$44),"")</f>
        <v/>
      </c>
      <c r="AG41" s="68" t="str">
        <f>IF(AND('Mapa final'!$Y$45="Baja",'Mapa final'!$AA$45="Mayor"),CONCATENATE("R6C",'Mapa final'!$O$45),"")</f>
        <v/>
      </c>
      <c r="AH41" s="69" t="str">
        <f>IF(AND('Mapa final'!$Y$40="Baja",'Mapa final'!$AA$40="Catastrófico"),CONCATENATE("R6C",'Mapa final'!$O$40),"")</f>
        <v/>
      </c>
      <c r="AI41" s="70" t="str">
        <f>IF(AND('Mapa final'!$Y$41="Baja",'Mapa final'!$AA$41="Catastrófico"),CONCATENATE("R6C",'Mapa final'!$O$41),"")</f>
        <v/>
      </c>
      <c r="AJ41" s="70" t="str">
        <f>IF(AND('Mapa final'!$Y$42="Baja",'Mapa final'!$AA$42="Catastrófico"),CONCATENATE("R6C",'Mapa final'!$O$42),"")</f>
        <v/>
      </c>
      <c r="AK41" s="70" t="str">
        <f>IF(AND('Mapa final'!$Y$43="Baja",'Mapa final'!$AA$43="Catastrófico"),CONCATENATE("R6C",'Mapa final'!$O$43),"")</f>
        <v/>
      </c>
      <c r="AL41" s="70" t="str">
        <f>IF(AND('Mapa final'!$Y$44="Baja",'Mapa final'!$AA$44="Catastrófico"),CONCATENATE("R6C",'Mapa final'!$O$44),"")</f>
        <v/>
      </c>
      <c r="AM41" s="71" t="str">
        <f>IF(AND('Mapa final'!$Y$45="Baja",'Mapa final'!$AA$45="Catastrófico"),CONCATENATE("R6C",'Mapa final'!$O$45),"")</f>
        <v/>
      </c>
      <c r="AN41" s="97"/>
      <c r="AO41" s="393"/>
      <c r="AP41" s="394"/>
      <c r="AQ41" s="394"/>
      <c r="AR41" s="394"/>
      <c r="AS41" s="394"/>
      <c r="AT41" s="395"/>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321"/>
      <c r="C42" s="321"/>
      <c r="D42" s="322"/>
      <c r="E42" s="362"/>
      <c r="F42" s="363"/>
      <c r="G42" s="363"/>
      <c r="H42" s="363"/>
      <c r="I42" s="363"/>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93"/>
      <c r="AP42" s="394"/>
      <c r="AQ42" s="394"/>
      <c r="AR42" s="394"/>
      <c r="AS42" s="394"/>
      <c r="AT42" s="395"/>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321"/>
      <c r="C43" s="321"/>
      <c r="D43" s="322"/>
      <c r="E43" s="362"/>
      <c r="F43" s="363"/>
      <c r="G43" s="363"/>
      <c r="H43" s="363"/>
      <c r="I43" s="363"/>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93"/>
      <c r="AP43" s="394"/>
      <c r="AQ43" s="394"/>
      <c r="AR43" s="394"/>
      <c r="AS43" s="394"/>
      <c r="AT43" s="395"/>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321"/>
      <c r="C44" s="321"/>
      <c r="D44" s="322"/>
      <c r="E44" s="362"/>
      <c r="F44" s="363"/>
      <c r="G44" s="363"/>
      <c r="H44" s="363"/>
      <c r="I44" s="363"/>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93"/>
      <c r="AP44" s="394"/>
      <c r="AQ44" s="394"/>
      <c r="AR44" s="394"/>
      <c r="AS44" s="394"/>
      <c r="AT44" s="395"/>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321"/>
      <c r="C45" s="321"/>
      <c r="D45" s="322"/>
      <c r="E45" s="365"/>
      <c r="F45" s="366"/>
      <c r="G45" s="366"/>
      <c r="H45" s="366"/>
      <c r="I45" s="366"/>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396"/>
      <c r="AP45" s="397"/>
      <c r="AQ45" s="397"/>
      <c r="AR45" s="397"/>
      <c r="AS45" s="397"/>
      <c r="AT45" s="398"/>
    </row>
    <row r="46" spans="1:80" ht="46.5" customHeight="1" x14ac:dyDescent="0.35">
      <c r="A46" s="97"/>
      <c r="B46" s="321"/>
      <c r="C46" s="321"/>
      <c r="D46" s="322"/>
      <c r="E46" s="359" t="s">
        <v>113</v>
      </c>
      <c r="F46" s="360"/>
      <c r="G46" s="360"/>
      <c r="H46" s="360"/>
      <c r="I46" s="361"/>
      <c r="J46" s="87" t="str">
        <f>IF(AND('Mapa final'!$Y$10="Muy Baja",'Mapa final'!$AA$10="Leve"),CONCATENATE("R1C",'Mapa final'!$O$10),"")</f>
        <v/>
      </c>
      <c r="K46" s="88" t="str">
        <f>IF(AND('Mapa final'!$Y$11="Muy Baja",'Mapa final'!$AA$11="Leve"),CONCATENATE("R1C",'Mapa final'!$O$11),"")</f>
        <v/>
      </c>
      <c r="L46" s="88" t="str">
        <f>IF(AND('Mapa final'!$Y$12="Muy Baja",'Mapa final'!$AA$12="Leve"),CONCATENATE("R1C",'Mapa final'!$O$12),"")</f>
        <v/>
      </c>
      <c r="M46" s="88" t="str">
        <f>IF(AND('Mapa final'!$Y$13="Muy Baja",'Mapa final'!$AA$13="Leve"),CONCATENATE("R1C",'Mapa final'!$O$13),"")</f>
        <v/>
      </c>
      <c r="N46" s="88" t="str">
        <f>IF(AND('Mapa final'!$Y$14="Muy Baja",'Mapa final'!$AA$14="Leve"),CONCATENATE("R1C",'Mapa final'!$O$14),"")</f>
        <v/>
      </c>
      <c r="O46" s="89" t="str">
        <f>IF(AND('Mapa final'!$Y$15="Muy Baja",'Mapa final'!$AA$15="Leve"),CONCATENATE("R1C",'Mapa final'!$O$15),"")</f>
        <v/>
      </c>
      <c r="P46" s="87" t="str">
        <f>IF(AND('Mapa final'!$Y$10="Muy Baja",'Mapa final'!$AA$10="Menor"),CONCATENATE("R1C",'Mapa final'!$O$10),"")</f>
        <v/>
      </c>
      <c r="Q46" s="88" t="str">
        <f>IF(AND('Mapa final'!$Y$11="Muy Baja",'Mapa final'!$AA$11="Menor"),CONCATENATE("R1C",'Mapa final'!$O$11),"")</f>
        <v/>
      </c>
      <c r="R46" s="88" t="str">
        <f>IF(AND('Mapa final'!$Y$12="Muy Baja",'Mapa final'!$AA$12="Menor"),CONCATENATE("R1C",'Mapa final'!$O$12),"")</f>
        <v/>
      </c>
      <c r="S46" s="88" t="str">
        <f>IF(AND('Mapa final'!$Y$13="Muy Baja",'Mapa final'!$AA$13="Menor"),CONCATENATE("R1C",'Mapa final'!$O$13),"")</f>
        <v/>
      </c>
      <c r="T46" s="88" t="str">
        <f>IF(AND('Mapa final'!$Y$14="Muy Baja",'Mapa final'!$AA$14="Menor"),CONCATENATE("R1C",'Mapa final'!$O$14),"")</f>
        <v/>
      </c>
      <c r="U46" s="89" t="str">
        <f>IF(AND('Mapa final'!$Y$15="Muy Baja",'Mapa final'!$AA$15="Menor"),CONCATENATE("R1C",'Mapa final'!$O$15),"")</f>
        <v/>
      </c>
      <c r="V46" s="78" t="str">
        <f>IF(AND('Mapa final'!$Y$10="Muy Baja",'Mapa final'!$AA$10="Moderado"),CONCATENATE("R1C",'Mapa final'!$O$10),"")</f>
        <v/>
      </c>
      <c r="W46" s="96" t="str">
        <f>IF(AND('Mapa final'!$Y$11="Muy Baja",'Mapa final'!$AA$11="Moderado"),CONCATENATE("R1C",'Mapa final'!$O$11),"")</f>
        <v/>
      </c>
      <c r="X46" s="79" t="str">
        <f>IF(AND('Mapa final'!$Y$12="Muy Baja",'Mapa final'!$AA$12="Moderado"),CONCATENATE("R1C",'Mapa final'!$O$12),"")</f>
        <v/>
      </c>
      <c r="Y46" s="79" t="str">
        <f>IF(AND('Mapa final'!$Y$13="Muy Baja",'Mapa final'!$AA$13="Moderado"),CONCATENATE("R1C",'Mapa final'!$O$13),"")</f>
        <v/>
      </c>
      <c r="Z46" s="79" t="str">
        <f>IF(AND('Mapa final'!$Y$14="Muy Baja",'Mapa final'!$AA$14="Moderado"),CONCATENATE("R1C",'Mapa final'!$O$14),"")</f>
        <v/>
      </c>
      <c r="AA46" s="80" t="str">
        <f>IF(AND('Mapa final'!$Y$15="Muy Baja",'Mapa final'!$AA$15="Moderado"),CONCATENATE("R1C",'Mapa final'!$O$15),"")</f>
        <v/>
      </c>
      <c r="AB46" s="60" t="str">
        <f>IF(AND('Mapa final'!$Y$10="Muy Baja",'Mapa final'!$AA$10="Mayor"),CONCATENATE("R1C",'Mapa final'!$O$10),"")</f>
        <v/>
      </c>
      <c r="AC46" s="61" t="str">
        <f>IF(AND('Mapa final'!$Y$11="Muy Baja",'Mapa final'!$AA$11="Mayor"),CONCATENATE("R1C",'Mapa final'!$O$11),"")</f>
        <v/>
      </c>
      <c r="AD46" s="61" t="str">
        <f>IF(AND('Mapa final'!$Y$12="Muy Baja",'Mapa final'!$AA$12="Mayor"),CONCATENATE("R1C",'Mapa final'!$O$12),"")</f>
        <v>R1C3</v>
      </c>
      <c r="AE46" s="61" t="str">
        <f>IF(AND('Mapa final'!$Y$13="Muy Baja",'Mapa final'!$AA$13="Mayor"),CONCATENATE("R1C",'Mapa final'!$O$13),"")</f>
        <v>R1C4</v>
      </c>
      <c r="AF46" s="61" t="str">
        <f>IF(AND('Mapa final'!$Y$14="Muy Baja",'Mapa final'!$AA$14="Mayor"),CONCATENATE("R1C",'Mapa final'!$O$14),"")</f>
        <v/>
      </c>
      <c r="AG46" s="62" t="str">
        <f>IF(AND('Mapa final'!$Y$15="Muy Baja",'Mapa final'!$AA$15="Mayor"),CONCATENATE("R1C",'Mapa final'!$O$15),"")</f>
        <v/>
      </c>
      <c r="AH46" s="63" t="str">
        <f>IF(AND('Mapa final'!$Y$10="Muy Baja",'Mapa final'!$AA$10="Catastrófico"),CONCATENATE("R1C",'Mapa final'!$O$10),"")</f>
        <v/>
      </c>
      <c r="AI46" s="64" t="str">
        <f>IF(AND('Mapa final'!$Y$11="Muy Baja",'Mapa final'!$AA$11="Catastrófico"),CONCATENATE("R1C",'Mapa final'!$O$11),"")</f>
        <v/>
      </c>
      <c r="AJ46" s="64" t="str">
        <f>IF(AND('Mapa final'!$Y$12="Muy Baja",'Mapa final'!$AA$12="Catastrófico"),CONCATENATE("R1C",'Mapa final'!$O$12),"")</f>
        <v/>
      </c>
      <c r="AK46" s="64" t="str">
        <f>IF(AND('Mapa final'!$Y$13="Muy Baja",'Mapa final'!$AA$13="Catastrófico"),CONCATENATE("R1C",'Mapa final'!$O$13),"")</f>
        <v/>
      </c>
      <c r="AL46" s="64" t="str">
        <f>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321"/>
      <c r="C47" s="321"/>
      <c r="D47" s="322"/>
      <c r="E47" s="378"/>
      <c r="F47" s="363"/>
      <c r="G47" s="363"/>
      <c r="H47" s="363"/>
      <c r="I47" s="364"/>
      <c r="J47" s="90" t="str">
        <f>IF(AND('Mapa final'!$Y$16="Muy Baja",'Mapa final'!$AA$16="Leve"),CONCATENATE("R2C",'Mapa final'!$O$16),"")</f>
        <v/>
      </c>
      <c r="K47" s="91" t="str">
        <f>IF(AND('Mapa final'!$Y$17="Muy Baja",'Mapa final'!$AA$17="Leve"),CONCATENATE("R2C",'Mapa final'!$O$17),"")</f>
        <v/>
      </c>
      <c r="L47" s="91" t="str">
        <f>IF(AND('Mapa final'!$Y$18="Muy Baja",'Mapa final'!$AA$18="Leve"),CONCATENATE("R2C",'Mapa final'!$O$18),"")</f>
        <v/>
      </c>
      <c r="M47" s="91" t="str">
        <f>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IF(AND('Mapa final'!$Y$16="Muy Baja",'Mapa final'!$AA$16="Menor"),CONCATENATE("R2C",'Mapa final'!$O$16),"")</f>
        <v/>
      </c>
      <c r="Q47" s="91" t="str">
        <f>IF(AND('Mapa final'!$Y$17="Muy Baja",'Mapa final'!$AA$17="Menor"),CONCATENATE("R2C",'Mapa final'!$O$17),"")</f>
        <v/>
      </c>
      <c r="R47" s="91" t="str">
        <f>IF(AND('Mapa final'!$Y$18="Muy Baja",'Mapa final'!$AA$18="Menor"),CONCATENATE("R2C",'Mapa final'!$O$18),"")</f>
        <v/>
      </c>
      <c r="S47" s="91" t="str">
        <f>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IF(AND('Mapa final'!$Y$16="Muy Baja",'Mapa final'!$AA$16="Moderado"),CONCATENATE("R2C",'Mapa final'!$O$16),"")</f>
        <v/>
      </c>
      <c r="W47" s="82" t="str">
        <f>IF(AND('Mapa final'!$Y$17="Muy Baja",'Mapa final'!$AA$17="Moderado"),CONCATENATE("R2C",'Mapa final'!$O$17),"")</f>
        <v/>
      </c>
      <c r="X47" s="82" t="str">
        <f>IF(AND('Mapa final'!$Y$18="Muy Baja",'Mapa final'!$AA$18="Moderado"),CONCATENATE("R2C",'Mapa final'!$O$18),"")</f>
        <v/>
      </c>
      <c r="Y47" s="82" t="str">
        <f>IF(AND('Mapa final'!$Y$19="Muy Baja",'Mapa final'!$AA$19="Moderado"),CONCATENATE("R2C",'Mapa final'!$O$19),"")</f>
        <v/>
      </c>
      <c r="Z47" s="82" t="str">
        <f>IF(AND('Mapa final'!$Y$20="Muy Baja",'Mapa final'!$AA$20="Moderado"),CONCATENATE("R2C",'Mapa final'!$O$20),"")</f>
        <v/>
      </c>
      <c r="AA47" s="83" t="str">
        <f>IF(AND('Mapa final'!$Y$21="Muy Baja",'Mapa final'!$AA$21="Moderado"),CONCATENATE("R2C",'Mapa final'!$O$21),"")</f>
        <v/>
      </c>
      <c r="AB47" s="66" t="str">
        <f>IF(AND('Mapa final'!$Y$16="Muy Baja",'Mapa final'!$AA$16="Mayor"),CONCATENATE("R2C",'Mapa final'!$O$16),"")</f>
        <v/>
      </c>
      <c r="AC47" s="67" t="str">
        <f>IF(AND('Mapa final'!$Y$17="Muy Baja",'Mapa final'!$AA$17="Mayor"),CONCATENATE("R2C",'Mapa final'!$O$17),"")</f>
        <v/>
      </c>
      <c r="AD47" s="67" t="str">
        <f>IF(AND('Mapa final'!$Y$18="Muy Baja",'Mapa final'!$AA$18="Mayor"),CONCATENATE("R2C",'Mapa final'!$O$18),"")</f>
        <v>R2C3</v>
      </c>
      <c r="AE47" s="67" t="str">
        <f>IF(AND('Mapa final'!$Y$19="Muy Baja",'Mapa final'!$AA$19="Mayor"),CONCATENATE("R2C",'Mapa final'!$O$19),"")</f>
        <v>R2C4</v>
      </c>
      <c r="AF47" s="67" t="str">
        <f>IF(AND('Mapa final'!$Y$20="Muy Baja",'Mapa final'!$AA$20="Mayor"),CONCATENATE("R2C",'Mapa final'!$O$20),"")</f>
        <v>R2C5</v>
      </c>
      <c r="AG47" s="68" t="str">
        <f>IF(AND('Mapa final'!$Y$21="Muy Baja",'Mapa final'!$AA$21="Mayor"),CONCATENATE("R2C",'Mapa final'!$O$21),"")</f>
        <v/>
      </c>
      <c r="AH47" s="69" t="str">
        <f>IF(AND('Mapa final'!$Y$16="Muy Baja",'Mapa final'!$AA$16="Catastrófico"),CONCATENATE("R2C",'Mapa final'!$O$16),"")</f>
        <v/>
      </c>
      <c r="AI47" s="70" t="str">
        <f>IF(AND('Mapa final'!$Y$17="Muy Baja",'Mapa final'!$AA$17="Catastrófico"),CONCATENATE("R2C",'Mapa final'!$O$17),"")</f>
        <v/>
      </c>
      <c r="AJ47" s="70" t="str">
        <f>IF(AND('Mapa final'!$Y$18="Muy Baja",'Mapa final'!$AA$18="Catastrófico"),CONCATENATE("R2C",'Mapa final'!$O$18),"")</f>
        <v/>
      </c>
      <c r="AK47" s="70" t="str">
        <f>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321"/>
      <c r="C48" s="321"/>
      <c r="D48" s="322"/>
      <c r="E48" s="378"/>
      <c r="F48" s="363"/>
      <c r="G48" s="363"/>
      <c r="H48" s="363"/>
      <c r="I48" s="364"/>
      <c r="J48" s="90" t="str">
        <f>IF(AND('Mapa final'!$Y$22="Muy Baja",'Mapa final'!$AA$22="Leve"),CONCATENATE("R3C",'Mapa final'!$O$22),"")</f>
        <v/>
      </c>
      <c r="K48" s="91" t="str">
        <f>IF(AND('Mapa final'!$Y$23="Muy Baja",'Mapa final'!$AA$23="Leve"),CONCATENATE("R3C",'Mapa final'!$O$23),"")</f>
        <v/>
      </c>
      <c r="L48" s="91" t="str">
        <f>IF(AND('Mapa final'!$Y$24="Muy Baja",'Mapa final'!$AA$24="Leve"),CONCATENATE("R3C",'Mapa final'!$O$24),"")</f>
        <v/>
      </c>
      <c r="M48" s="91" t="str">
        <f>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IF(AND('Mapa final'!$Y$22="Muy Baja",'Mapa final'!$AA$22="Menor"),CONCATENATE("R3C",'Mapa final'!$O$22),"")</f>
        <v/>
      </c>
      <c r="Q48" s="91" t="str">
        <f>IF(AND('Mapa final'!$Y$23="Muy Baja",'Mapa final'!$AA$23="Menor"),CONCATENATE("R3C",'Mapa final'!$O$23),"")</f>
        <v/>
      </c>
      <c r="R48" s="91" t="str">
        <f>IF(AND('Mapa final'!$Y$24="Muy Baja",'Mapa final'!$AA$24="Menor"),CONCATENATE("R3C",'Mapa final'!$O$24),"")</f>
        <v/>
      </c>
      <c r="S48" s="91" t="str">
        <f>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IF(AND('Mapa final'!$Y$22="Muy Baja",'Mapa final'!$AA$22="Moderado"),CONCATENATE("R3C",'Mapa final'!$O$22),"")</f>
        <v/>
      </c>
      <c r="W48" s="82" t="str">
        <f>IF(AND('Mapa final'!$Y$23="Muy Baja",'Mapa final'!$AA$23="Moderado"),CONCATENATE("R3C",'Mapa final'!$O$23),"")</f>
        <v/>
      </c>
      <c r="X48" s="82" t="str">
        <f>IF(AND('Mapa final'!$Y$24="Muy Baja",'Mapa final'!$AA$24="Moderado"),CONCATENATE("R3C",'Mapa final'!$O$24),"")</f>
        <v/>
      </c>
      <c r="Y48" s="82" t="str">
        <f>IF(AND('Mapa final'!$Y$25="Muy Baja",'Mapa final'!$AA$25="Moderado"),CONCATENATE("R3C",'Mapa final'!$O$25),"")</f>
        <v/>
      </c>
      <c r="Z48" s="82" t="str">
        <f>IF(AND('Mapa final'!$Y$26="Muy Baja",'Mapa final'!$AA$26="Moderado"),CONCATENATE("R3C",'Mapa final'!$O$26),"")</f>
        <v/>
      </c>
      <c r="AA48" s="83" t="str">
        <f>IF(AND('Mapa final'!$Y$27="Muy Baja",'Mapa final'!$AA$27="Moderado"),CONCATENATE("R3C",'Mapa final'!$O$27),"")</f>
        <v/>
      </c>
      <c r="AB48" s="66" t="str">
        <f>IF(AND('Mapa final'!$Y$22="Muy Baja",'Mapa final'!$AA$22="Mayor"),CONCATENATE("R3C",'Mapa final'!$O$22),"")</f>
        <v/>
      </c>
      <c r="AC48" s="67" t="str">
        <f>IF(AND('Mapa final'!$Y$23="Muy Baja",'Mapa final'!$AA$23="Mayor"),CONCATENATE("R3C",'Mapa final'!$O$23),"")</f>
        <v/>
      </c>
      <c r="AD48" s="67" t="str">
        <f>IF(AND('Mapa final'!$Y$24="Muy Baja",'Mapa final'!$AA$24="Mayor"),CONCATENATE("R3C",'Mapa final'!$O$24),"")</f>
        <v/>
      </c>
      <c r="AE48" s="67" t="str">
        <f>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IF(AND('Mapa final'!$Y$22="Muy Baja",'Mapa final'!$AA$22="Catastrófico"),CONCATENATE("R3C",'Mapa final'!$O$22),"")</f>
        <v/>
      </c>
      <c r="AI48" s="70" t="str">
        <f>IF(AND('Mapa final'!$Y$23="Muy Baja",'Mapa final'!$AA$23="Catastrófico"),CONCATENATE("R3C",'Mapa final'!$O$23),"")</f>
        <v/>
      </c>
      <c r="AJ48" s="70" t="str">
        <f>IF(AND('Mapa final'!$Y$24="Muy Baja",'Mapa final'!$AA$24="Catastrófico"),CONCATENATE("R3C",'Mapa final'!$O$24),"")</f>
        <v/>
      </c>
      <c r="AK48" s="70" t="str">
        <f>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321"/>
      <c r="C49" s="321"/>
      <c r="D49" s="322"/>
      <c r="E49" s="362"/>
      <c r="F49" s="363"/>
      <c r="G49" s="363"/>
      <c r="H49" s="363"/>
      <c r="I49" s="364"/>
      <c r="J49" s="90" t="str">
        <f>IF(AND('Mapa final'!$Y$28="Muy Baja",'Mapa final'!$AA$28="Leve"),CONCATENATE("R4C",'Mapa final'!$O$28),"")</f>
        <v/>
      </c>
      <c r="K49" s="91" t="str">
        <f>IF(AND('Mapa final'!$Y$29="Muy Baja",'Mapa final'!$AA$29="Leve"),CONCATENATE("R4C",'Mapa final'!$O$29),"")</f>
        <v/>
      </c>
      <c r="L49" s="91" t="str">
        <f>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IF(AND('Mapa final'!$Y$28="Muy Baja",'Mapa final'!$AA$28="Menor"),CONCATENATE("R4C",'Mapa final'!$O$28),"")</f>
        <v/>
      </c>
      <c r="Q49" s="91" t="str">
        <f>IF(AND('Mapa final'!$Y$29="Muy Baja",'Mapa final'!$AA$29="Menor"),CONCATENATE("R4C",'Mapa final'!$O$29),"")</f>
        <v/>
      </c>
      <c r="R49" s="91" t="str">
        <f>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IF(AND('Mapa final'!$Y$28="Muy Baja",'Mapa final'!$AA$28="Moderado"),CONCATENATE("R4C",'Mapa final'!$O$28),"")</f>
        <v/>
      </c>
      <c r="W49" s="82" t="str">
        <f>IF(AND('Mapa final'!$Y$29="Muy Baja",'Mapa final'!$AA$29="Moderado"),CONCATENATE("R4C",'Mapa final'!$O$29),"")</f>
        <v/>
      </c>
      <c r="X49" s="82" t="str">
        <f>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IF(AND('Mapa final'!$Y$28="Muy Baja",'Mapa final'!$AA$28="Mayor"),CONCATENATE("R4C",'Mapa final'!$O$28),"")</f>
        <v/>
      </c>
      <c r="AC49" s="67" t="str">
        <f>IF(AND('Mapa final'!$Y$29="Muy Baja",'Mapa final'!$AA$29="Mayor"),CONCATENATE("R4C",'Mapa final'!$O$29),"")</f>
        <v/>
      </c>
      <c r="AD49" s="67" t="str">
        <f>IF(AND('Mapa final'!$Y$30="Muy Baja",'Mapa final'!$AA$30="Mayor"),CONCATENATE("R4C",'Mapa final'!$O$30),"")</f>
        <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IF(AND('Mapa final'!$Y$28="Muy Baja",'Mapa final'!$AA$28="Catastrófico"),CONCATENATE("R4C",'Mapa final'!$O$28),"")</f>
        <v/>
      </c>
      <c r="AI49" s="70" t="str">
        <f>IF(AND('Mapa final'!$Y$29="Muy Baja",'Mapa final'!$AA$29="Catastrófico"),CONCATENATE("R4C",'Mapa final'!$O$29),"")</f>
        <v/>
      </c>
      <c r="AJ49" s="70" t="str">
        <f>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321"/>
      <c r="C50" s="321"/>
      <c r="D50" s="322"/>
      <c r="E50" s="362"/>
      <c r="F50" s="363"/>
      <c r="G50" s="363"/>
      <c r="H50" s="363"/>
      <c r="I50" s="364"/>
      <c r="J50" s="90" t="str">
        <f>IF(AND('Mapa final'!$Y$34="Muy Baja",'Mapa final'!$AA$34="Leve"),CONCATENATE("R5C",'Mapa final'!$O$34),"")</f>
        <v/>
      </c>
      <c r="K50" s="91" t="str">
        <f>IF(AND('Mapa final'!$Y$35="Muy Baja",'Mapa final'!$AA$35="Leve"),CONCATENATE("R5C",'Mapa final'!$O$35),"")</f>
        <v/>
      </c>
      <c r="L50" s="91" t="str">
        <f>IF(AND('Mapa final'!$Y$36="Muy Baja",'Mapa final'!$AA$36="Leve"),CONCATENATE("R5C",'Mapa final'!$O$36),"")</f>
        <v/>
      </c>
      <c r="M50" s="91" t="str">
        <f>IF(AND('Mapa final'!$Y$37="Muy Baja",'Mapa final'!$AA$37="Leve"),CONCATENATE("R5C",'Mapa final'!$O$37),"")</f>
        <v/>
      </c>
      <c r="N50" s="91" t="str">
        <f>IF(AND('Mapa final'!$Y$38="Muy Baja",'Mapa final'!$AA$38="Leve"),CONCATENATE("R5C",'Mapa final'!$O$38),"")</f>
        <v/>
      </c>
      <c r="O50" s="92" t="str">
        <f>IF(AND('Mapa final'!$Y$39="Muy Baja",'Mapa final'!$AA$39="Leve"),CONCATENATE("R5C",'Mapa final'!$O$39),"")</f>
        <v/>
      </c>
      <c r="P50" s="90" t="str">
        <f>IF(AND('Mapa final'!$Y$34="Muy Baja",'Mapa final'!$AA$34="Menor"),CONCATENATE("R5C",'Mapa final'!$O$34),"")</f>
        <v/>
      </c>
      <c r="Q50" s="91" t="str">
        <f>IF(AND('Mapa final'!$Y$35="Muy Baja",'Mapa final'!$AA$35="Menor"),CONCATENATE("R5C",'Mapa final'!$O$35),"")</f>
        <v/>
      </c>
      <c r="R50" s="91" t="str">
        <f>IF(AND('Mapa final'!$Y$36="Muy Baja",'Mapa final'!$AA$36="Menor"),CONCATENATE("R5C",'Mapa final'!$O$36),"")</f>
        <v/>
      </c>
      <c r="S50" s="91" t="str">
        <f>IF(AND('Mapa final'!$Y$37="Muy Baja",'Mapa final'!$AA$37="Menor"),CONCATENATE("R5C",'Mapa final'!$O$37),"")</f>
        <v/>
      </c>
      <c r="T50" s="91" t="str">
        <f>IF(AND('Mapa final'!$Y$38="Muy Baja",'Mapa final'!$AA$38="Menor"),CONCATENATE("R5C",'Mapa final'!$O$38),"")</f>
        <v/>
      </c>
      <c r="U50" s="92" t="str">
        <f>IF(AND('Mapa final'!$Y$39="Muy Baja",'Mapa final'!$AA$39="Menor"),CONCATENATE("R5C",'Mapa final'!$O$39),"")</f>
        <v/>
      </c>
      <c r="V50" s="81" t="str">
        <f>IF(AND('Mapa final'!$Y$34="Muy Baja",'Mapa final'!$AA$34="Moderado"),CONCATENATE("R5C",'Mapa final'!$O$34),"")</f>
        <v/>
      </c>
      <c r="W50" s="82" t="str">
        <f>IF(AND('Mapa final'!$Y$35="Muy Baja",'Mapa final'!$AA$35="Moderado"),CONCATENATE("R5C",'Mapa final'!$O$35),"")</f>
        <v/>
      </c>
      <c r="X50" s="82" t="str">
        <f>IF(AND('Mapa final'!$Y$36="Muy Baja",'Mapa final'!$AA$36="Moderado"),CONCATENATE("R5C",'Mapa final'!$O$36),"")</f>
        <v/>
      </c>
      <c r="Y50" s="82" t="str">
        <f>IF(AND('Mapa final'!$Y$37="Muy Baja",'Mapa final'!$AA$37="Moderado"),CONCATENATE("R5C",'Mapa final'!$O$37),"")</f>
        <v/>
      </c>
      <c r="Z50" s="82" t="str">
        <f>IF(AND('Mapa final'!$Y$38="Muy Baja",'Mapa final'!$AA$38="Moderado"),CONCATENATE("R5C",'Mapa final'!$O$38),"")</f>
        <v/>
      </c>
      <c r="AA50" s="83" t="str">
        <f>IF(AND('Mapa final'!$Y$39="Muy Baja",'Mapa final'!$AA$39="Moderado"),CONCATENATE("R5C",'Mapa final'!$O$39),"")</f>
        <v/>
      </c>
      <c r="AB50" s="66" t="str">
        <f>IF(AND('Mapa final'!$Y$34="Muy Baja",'Mapa final'!$AA$34="Mayor"),CONCATENATE("R5C",'Mapa final'!$O$34),"")</f>
        <v/>
      </c>
      <c r="AC50" s="67" t="str">
        <f>IF(AND('Mapa final'!$Y$35="Muy Baja",'Mapa final'!$AA$35="Mayor"),CONCATENATE("R5C",'Mapa final'!$O$35),"")</f>
        <v/>
      </c>
      <c r="AD50" s="67" t="str">
        <f>IF(AND('Mapa final'!$Y$36="Muy Baja",'Mapa final'!$AA$36="Mayor"),CONCATENATE("R5C",'Mapa final'!$O$36),"")</f>
        <v/>
      </c>
      <c r="AE50" s="67" t="str">
        <f>IF(AND('Mapa final'!$Y$37="Muy Baja",'Mapa final'!$AA$37="Mayor"),CONCATENATE("R5C",'Mapa final'!$O$37),"")</f>
        <v/>
      </c>
      <c r="AF50" s="67" t="str">
        <f>IF(AND('Mapa final'!$Y$38="Muy Baja",'Mapa final'!$AA$38="Mayor"),CONCATENATE("R5C",'Mapa final'!$O$38),"")</f>
        <v/>
      </c>
      <c r="AG50" s="68" t="str">
        <f>IF(AND('Mapa final'!$Y$39="Muy Baja",'Mapa final'!$AA$39="Mayor"),CONCATENATE("R5C",'Mapa final'!$O$39),"")</f>
        <v/>
      </c>
      <c r="AH50" s="69" t="str">
        <f>IF(AND('Mapa final'!$Y$34="Muy Baja",'Mapa final'!$AA$34="Catastrófico"),CONCATENATE("R5C",'Mapa final'!$O$34),"")</f>
        <v/>
      </c>
      <c r="AI50" s="70" t="str">
        <f>IF(AND('Mapa final'!$Y$35="Muy Baja",'Mapa final'!$AA$35="Catastrófico"),CONCATENATE("R5C",'Mapa final'!$O$35),"")</f>
        <v/>
      </c>
      <c r="AJ50" s="70" t="str">
        <f>IF(AND('Mapa final'!$Y$36="Muy Baja",'Mapa final'!$AA$36="Catastrófico"),CONCATENATE("R5C",'Mapa final'!$O$36),"")</f>
        <v/>
      </c>
      <c r="AK50" s="70" t="str">
        <f>IF(AND('Mapa final'!$Y$37="Muy Baja",'Mapa final'!$AA$37="Catastrófico"),CONCATENATE("R5C",'Mapa final'!$O$37),"")</f>
        <v/>
      </c>
      <c r="AL50" s="70" t="str">
        <f>IF(AND('Mapa final'!$Y$38="Muy Baja",'Mapa final'!$AA$38="Catastrófico"),CONCATENATE("R5C",'Mapa final'!$O$38),"")</f>
        <v/>
      </c>
      <c r="AM50" s="71" t="str">
        <f>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321"/>
      <c r="C51" s="321"/>
      <c r="D51" s="322"/>
      <c r="E51" s="362"/>
      <c r="F51" s="363"/>
      <c r="G51" s="363"/>
      <c r="H51" s="363"/>
      <c r="I51" s="364"/>
      <c r="J51" s="90" t="str">
        <f>IF(AND('Mapa final'!$Y$40="Muy Baja",'Mapa final'!$AA$40="Leve"),CONCATENATE("R6C",'Mapa final'!$O$40),"")</f>
        <v/>
      </c>
      <c r="K51" s="91" t="str">
        <f>IF(AND('Mapa final'!$Y$41="Muy Baja",'Mapa final'!$AA$41="Leve"),CONCATENATE("R6C",'Mapa final'!$O$41),"")</f>
        <v/>
      </c>
      <c r="L51" s="91" t="str">
        <f>IF(AND('Mapa final'!$Y$42="Muy Baja",'Mapa final'!$AA$42="Leve"),CONCATENATE("R6C",'Mapa final'!$O$42),"")</f>
        <v/>
      </c>
      <c r="M51" s="91" t="str">
        <f>IF(AND('Mapa final'!$Y$43="Muy Baja",'Mapa final'!$AA$43="Leve"),CONCATENATE("R6C",'Mapa final'!$O$43),"")</f>
        <v/>
      </c>
      <c r="N51" s="91" t="str">
        <f>IF(AND('Mapa final'!$Y$44="Muy Baja",'Mapa final'!$AA$44="Leve"),CONCATENATE("R6C",'Mapa final'!$O$44),"")</f>
        <v/>
      </c>
      <c r="O51" s="92" t="str">
        <f>IF(AND('Mapa final'!$Y$45="Muy Baja",'Mapa final'!$AA$45="Leve"),CONCATENATE("R6C",'Mapa final'!$O$45),"")</f>
        <v/>
      </c>
      <c r="P51" s="90" t="str">
        <f>IF(AND('Mapa final'!$Y$40="Muy Baja",'Mapa final'!$AA$40="Menor"),CONCATENATE("R6C",'Mapa final'!$O$40),"")</f>
        <v/>
      </c>
      <c r="Q51" s="91" t="str">
        <f>IF(AND('Mapa final'!$Y$41="Muy Baja",'Mapa final'!$AA$41="Menor"),CONCATENATE("R6C",'Mapa final'!$O$41),"")</f>
        <v/>
      </c>
      <c r="R51" s="91" t="str">
        <f>IF(AND('Mapa final'!$Y$42="Muy Baja",'Mapa final'!$AA$42="Menor"),CONCATENATE("R6C",'Mapa final'!$O$42),"")</f>
        <v/>
      </c>
      <c r="S51" s="91" t="str">
        <f>IF(AND('Mapa final'!$Y$43="Muy Baja",'Mapa final'!$AA$43="Menor"),CONCATENATE("R6C",'Mapa final'!$O$43),"")</f>
        <v/>
      </c>
      <c r="T51" s="91" t="str">
        <f>IF(AND('Mapa final'!$Y$44="Muy Baja",'Mapa final'!$AA$44="Menor"),CONCATENATE("R6C",'Mapa final'!$O$44),"")</f>
        <v/>
      </c>
      <c r="U51" s="92" t="str">
        <f>IF(AND('Mapa final'!$Y$45="Muy Baja",'Mapa final'!$AA$45="Menor"),CONCATENATE("R6C",'Mapa final'!$O$45),"")</f>
        <v/>
      </c>
      <c r="V51" s="81" t="str">
        <f>IF(AND('Mapa final'!$Y$40="Muy Baja",'Mapa final'!$AA$40="Moderado"),CONCATENATE("R6C",'Mapa final'!$O$40),"")</f>
        <v/>
      </c>
      <c r="W51" s="82" t="str">
        <f>IF(AND('Mapa final'!$Y$41="Muy Baja",'Mapa final'!$AA$41="Moderado"),CONCATENATE("R6C",'Mapa final'!$O$41),"")</f>
        <v/>
      </c>
      <c r="X51" s="82" t="str">
        <f>IF(AND('Mapa final'!$Y$42="Muy Baja",'Mapa final'!$AA$42="Moderado"),CONCATENATE("R6C",'Mapa final'!$O$42),"")</f>
        <v/>
      </c>
      <c r="Y51" s="82" t="str">
        <f>IF(AND('Mapa final'!$Y$43="Muy Baja",'Mapa final'!$AA$43="Moderado"),CONCATENATE("R6C",'Mapa final'!$O$43),"")</f>
        <v/>
      </c>
      <c r="Z51" s="82" t="str">
        <f>IF(AND('Mapa final'!$Y$44="Muy Baja",'Mapa final'!$AA$44="Moderado"),CONCATENATE("R6C",'Mapa final'!$O$44),"")</f>
        <v/>
      </c>
      <c r="AA51" s="83" t="str">
        <f>IF(AND('Mapa final'!$Y$45="Muy Baja",'Mapa final'!$AA$45="Moderado"),CONCATENATE("R6C",'Mapa final'!$O$45),"")</f>
        <v/>
      </c>
      <c r="AB51" s="66" t="str">
        <f>IF(AND('Mapa final'!$Y$40="Muy Baja",'Mapa final'!$AA$40="Mayor"),CONCATENATE("R6C",'Mapa final'!$O$40),"")</f>
        <v/>
      </c>
      <c r="AC51" s="67" t="str">
        <f>IF(AND('Mapa final'!$Y$41="Muy Baja",'Mapa final'!$AA$41="Mayor"),CONCATENATE("R6C",'Mapa final'!$O$41),"")</f>
        <v/>
      </c>
      <c r="AD51" s="67" t="str">
        <f>IF(AND('Mapa final'!$Y$42="Muy Baja",'Mapa final'!$AA$42="Mayor"),CONCATENATE("R6C",'Mapa final'!$O$42),"")</f>
        <v/>
      </c>
      <c r="AE51" s="67" t="str">
        <f>IF(AND('Mapa final'!$Y$43="Muy Baja",'Mapa final'!$AA$43="Mayor"),CONCATENATE("R6C",'Mapa final'!$O$43),"")</f>
        <v/>
      </c>
      <c r="AF51" s="67" t="str">
        <f>IF(AND('Mapa final'!$Y$44="Muy Baja",'Mapa final'!$AA$44="Mayor"),CONCATENATE("R6C",'Mapa final'!$O$44),"")</f>
        <v/>
      </c>
      <c r="AG51" s="68" t="str">
        <f>IF(AND('Mapa final'!$Y$45="Muy Baja",'Mapa final'!$AA$45="Mayor"),CONCATENATE("R6C",'Mapa final'!$O$45),"")</f>
        <v/>
      </c>
      <c r="AH51" s="69" t="str">
        <f>IF(AND('Mapa final'!$Y$40="Muy Baja",'Mapa final'!$AA$40="Catastrófico"),CONCATENATE("R6C",'Mapa final'!$O$40),"")</f>
        <v/>
      </c>
      <c r="AI51" s="70" t="str">
        <f>IF(AND('Mapa final'!$Y$41="Muy Baja",'Mapa final'!$AA$41="Catastrófico"),CONCATENATE("R6C",'Mapa final'!$O$41),"")</f>
        <v/>
      </c>
      <c r="AJ51" s="70" t="str">
        <f>IF(AND('Mapa final'!$Y$42="Muy Baja",'Mapa final'!$AA$42="Catastrófico"),CONCATENATE("R6C",'Mapa final'!$O$42),"")</f>
        <v/>
      </c>
      <c r="AK51" s="70" t="str">
        <f>IF(AND('Mapa final'!$Y$43="Muy Baja",'Mapa final'!$AA$43="Catastrófico"),CONCATENATE("R6C",'Mapa final'!$O$43),"")</f>
        <v/>
      </c>
      <c r="AL51" s="70" t="str">
        <f>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321"/>
      <c r="C52" s="321"/>
      <c r="D52" s="322"/>
      <c r="E52" s="362"/>
      <c r="F52" s="363"/>
      <c r="G52" s="363"/>
      <c r="H52" s="363"/>
      <c r="I52" s="364"/>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
      </c>
      <c r="X52" s="82" t="str">
        <f>IF(AND('Mapa final'!$Y$48="Muy Baja",'Mapa final'!$AA$48="Moderado"),CONCATENATE("R7C",'Mapa final'!$O$48),"")</f>
        <v/>
      </c>
      <c r="Y52" s="82" t="str">
        <f>IF(AND('Mapa final'!$Y$49="Muy Baja",'Mapa final'!$AA$49="Moderado"),CONCATENATE("R7C",'Mapa final'!$O$49),"")</f>
        <v/>
      </c>
      <c r="Z52" s="82" t="str">
        <f>IF(AND('Mapa final'!$Y$50="Muy Baja",'Mapa final'!$AA$50="Moderado"),CONCATENATE("R7C",'Mapa final'!$O$50),"")</f>
        <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321"/>
      <c r="C53" s="321"/>
      <c r="D53" s="322"/>
      <c r="E53" s="362"/>
      <c r="F53" s="363"/>
      <c r="G53" s="363"/>
      <c r="H53" s="363"/>
      <c r="I53" s="364"/>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321"/>
      <c r="C54" s="321"/>
      <c r="D54" s="322"/>
      <c r="E54" s="362"/>
      <c r="F54" s="363"/>
      <c r="G54" s="363"/>
      <c r="H54" s="363"/>
      <c r="I54" s="364"/>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321"/>
      <c r="C55" s="321"/>
      <c r="D55" s="322"/>
      <c r="E55" s="365"/>
      <c r="F55" s="366"/>
      <c r="G55" s="366"/>
      <c r="H55" s="366"/>
      <c r="I55" s="367"/>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59" t="s">
        <v>112</v>
      </c>
      <c r="K56" s="360"/>
      <c r="L56" s="360"/>
      <c r="M56" s="360"/>
      <c r="N56" s="360"/>
      <c r="O56" s="361"/>
      <c r="P56" s="359" t="s">
        <v>111</v>
      </c>
      <c r="Q56" s="360"/>
      <c r="R56" s="360"/>
      <c r="S56" s="360"/>
      <c r="T56" s="360"/>
      <c r="U56" s="361"/>
      <c r="V56" s="359" t="s">
        <v>110</v>
      </c>
      <c r="W56" s="360"/>
      <c r="X56" s="360"/>
      <c r="Y56" s="360"/>
      <c r="Z56" s="360"/>
      <c r="AA56" s="361"/>
      <c r="AB56" s="359" t="s">
        <v>109</v>
      </c>
      <c r="AC56" s="368"/>
      <c r="AD56" s="360"/>
      <c r="AE56" s="360"/>
      <c r="AF56" s="360"/>
      <c r="AG56" s="361"/>
      <c r="AH56" s="359" t="s">
        <v>108</v>
      </c>
      <c r="AI56" s="360"/>
      <c r="AJ56" s="360"/>
      <c r="AK56" s="360"/>
      <c r="AL56" s="360"/>
      <c r="AM56" s="361"/>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62"/>
      <c r="K57" s="363"/>
      <c r="L57" s="363"/>
      <c r="M57" s="363"/>
      <c r="N57" s="363"/>
      <c r="O57" s="364"/>
      <c r="P57" s="362"/>
      <c r="Q57" s="363"/>
      <c r="R57" s="363"/>
      <c r="S57" s="363"/>
      <c r="T57" s="363"/>
      <c r="U57" s="364"/>
      <c r="V57" s="362"/>
      <c r="W57" s="363"/>
      <c r="X57" s="363"/>
      <c r="Y57" s="363"/>
      <c r="Z57" s="363"/>
      <c r="AA57" s="364"/>
      <c r="AB57" s="362"/>
      <c r="AC57" s="363"/>
      <c r="AD57" s="363"/>
      <c r="AE57" s="363"/>
      <c r="AF57" s="363"/>
      <c r="AG57" s="364"/>
      <c r="AH57" s="362"/>
      <c r="AI57" s="363"/>
      <c r="AJ57" s="363"/>
      <c r="AK57" s="363"/>
      <c r="AL57" s="363"/>
      <c r="AM57" s="364"/>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62"/>
      <c r="K58" s="363"/>
      <c r="L58" s="363"/>
      <c r="M58" s="363"/>
      <c r="N58" s="363"/>
      <c r="O58" s="364"/>
      <c r="P58" s="362"/>
      <c r="Q58" s="363"/>
      <c r="R58" s="363"/>
      <c r="S58" s="363"/>
      <c r="T58" s="363"/>
      <c r="U58" s="364"/>
      <c r="V58" s="362"/>
      <c r="W58" s="363"/>
      <c r="X58" s="363"/>
      <c r="Y58" s="363"/>
      <c r="Z58" s="363"/>
      <c r="AA58" s="364"/>
      <c r="AB58" s="362"/>
      <c r="AC58" s="363"/>
      <c r="AD58" s="363"/>
      <c r="AE58" s="363"/>
      <c r="AF58" s="363"/>
      <c r="AG58" s="364"/>
      <c r="AH58" s="362"/>
      <c r="AI58" s="363"/>
      <c r="AJ58" s="363"/>
      <c r="AK58" s="363"/>
      <c r="AL58" s="363"/>
      <c r="AM58" s="364"/>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62"/>
      <c r="K59" s="363"/>
      <c r="L59" s="363"/>
      <c r="M59" s="363"/>
      <c r="N59" s="363"/>
      <c r="O59" s="364"/>
      <c r="P59" s="362"/>
      <c r="Q59" s="363"/>
      <c r="R59" s="363"/>
      <c r="S59" s="363"/>
      <c r="T59" s="363"/>
      <c r="U59" s="364"/>
      <c r="V59" s="362"/>
      <c r="W59" s="363"/>
      <c r="X59" s="363"/>
      <c r="Y59" s="363"/>
      <c r="Z59" s="363"/>
      <c r="AA59" s="364"/>
      <c r="AB59" s="362"/>
      <c r="AC59" s="363"/>
      <c r="AD59" s="363"/>
      <c r="AE59" s="363"/>
      <c r="AF59" s="363"/>
      <c r="AG59" s="364"/>
      <c r="AH59" s="362"/>
      <c r="AI59" s="363"/>
      <c r="AJ59" s="363"/>
      <c r="AK59" s="363"/>
      <c r="AL59" s="363"/>
      <c r="AM59" s="364"/>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62"/>
      <c r="K60" s="363"/>
      <c r="L60" s="363"/>
      <c r="M60" s="363"/>
      <c r="N60" s="363"/>
      <c r="O60" s="364"/>
      <c r="P60" s="362"/>
      <c r="Q60" s="363"/>
      <c r="R60" s="363"/>
      <c r="S60" s="363"/>
      <c r="T60" s="363"/>
      <c r="U60" s="364"/>
      <c r="V60" s="362"/>
      <c r="W60" s="363"/>
      <c r="X60" s="363"/>
      <c r="Y60" s="363"/>
      <c r="Z60" s="363"/>
      <c r="AA60" s="364"/>
      <c r="AB60" s="362"/>
      <c r="AC60" s="363"/>
      <c r="AD60" s="363"/>
      <c r="AE60" s="363"/>
      <c r="AF60" s="363"/>
      <c r="AG60" s="364"/>
      <c r="AH60" s="362"/>
      <c r="AI60" s="363"/>
      <c r="AJ60" s="363"/>
      <c r="AK60" s="363"/>
      <c r="AL60" s="363"/>
      <c r="AM60" s="364"/>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65"/>
      <c r="K61" s="366"/>
      <c r="L61" s="366"/>
      <c r="M61" s="366"/>
      <c r="N61" s="366"/>
      <c r="O61" s="367"/>
      <c r="P61" s="365"/>
      <c r="Q61" s="366"/>
      <c r="R61" s="366"/>
      <c r="S61" s="366"/>
      <c r="T61" s="366"/>
      <c r="U61" s="367"/>
      <c r="V61" s="365"/>
      <c r="W61" s="366"/>
      <c r="X61" s="366"/>
      <c r="Y61" s="366"/>
      <c r="Z61" s="366"/>
      <c r="AA61" s="367"/>
      <c r="AB61" s="365"/>
      <c r="AC61" s="366"/>
      <c r="AD61" s="366"/>
      <c r="AE61" s="366"/>
      <c r="AF61" s="366"/>
      <c r="AG61" s="367"/>
      <c r="AH61" s="365"/>
      <c r="AI61" s="366"/>
      <c r="AJ61" s="366"/>
      <c r="AK61" s="366"/>
      <c r="AL61" s="366"/>
      <c r="AM61" s="36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08" t="s">
        <v>55</v>
      </c>
      <c r="C1" s="408"/>
      <c r="D1" s="408"/>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7" sqref="D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09" t="s">
        <v>63</v>
      </c>
      <c r="C1" s="409"/>
      <c r="D1" s="409"/>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121.5" customHeight="1"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str" cm="1">
        <f t="array" ref="B221:B223">_xlfn.UNIQUE(Tabla1[[#All],[Criterios]])</f>
        <v>Criterios</v>
      </c>
      <c r="C221" s="34"/>
      <c r="E221" t="s">
        <v>118</v>
      </c>
      <c r="F221" t="str">
        <f t="shared" si="0"/>
        <v xml:space="preserve">     El riesgo afecta la imagen de la entidad a nivel nacional, con efecto publicitarios sostenible a nivel país</v>
      </c>
    </row>
    <row r="222" spans="1:8" x14ac:dyDescent="0.25">
      <c r="A222" s="97"/>
      <c r="B222" s="34" t="str">
        <v>Afectación Económica o presupuestal</v>
      </c>
      <c r="C222" s="34"/>
    </row>
    <row r="223" spans="1:8" x14ac:dyDescent="0.25">
      <c r="B223" s="34" t="str">
        <v>Pérdida Reputacional</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D4" sqref="D4"/>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6" ht="24" customHeight="1" thickBot="1" x14ac:dyDescent="0.25">
      <c r="B1" s="410" t="s">
        <v>78</v>
      </c>
      <c r="C1" s="411"/>
      <c r="D1" s="411"/>
      <c r="E1" s="411"/>
      <c r="F1" s="412"/>
    </row>
    <row r="2" spans="2:6" ht="16.5" thickBot="1" x14ac:dyDescent="0.3">
      <c r="B2" s="103"/>
      <c r="C2" s="103"/>
      <c r="D2" s="103"/>
      <c r="E2" s="103"/>
      <c r="F2" s="103"/>
    </row>
    <row r="3" spans="2:6" ht="16.5" thickBot="1" x14ac:dyDescent="0.25">
      <c r="B3" s="414" t="s">
        <v>64</v>
      </c>
      <c r="C3" s="415"/>
      <c r="D3" s="415"/>
      <c r="E3" s="115" t="s">
        <v>65</v>
      </c>
      <c r="F3" s="116" t="s">
        <v>66</v>
      </c>
    </row>
    <row r="4" spans="2:6" ht="31.5" x14ac:dyDescent="0.2">
      <c r="B4" s="416" t="s">
        <v>67</v>
      </c>
      <c r="C4" s="418" t="s">
        <v>13</v>
      </c>
      <c r="D4" s="104" t="s">
        <v>14</v>
      </c>
      <c r="E4" s="105" t="s">
        <v>68</v>
      </c>
      <c r="F4" s="106">
        <v>0.25</v>
      </c>
    </row>
    <row r="5" spans="2:6" ht="47.25" x14ac:dyDescent="0.2">
      <c r="B5" s="417"/>
      <c r="C5" s="419"/>
      <c r="D5" s="107" t="s">
        <v>15</v>
      </c>
      <c r="E5" s="108" t="s">
        <v>69</v>
      </c>
      <c r="F5" s="109">
        <v>0.15</v>
      </c>
    </row>
    <row r="6" spans="2:6" ht="47.25" x14ac:dyDescent="0.2">
      <c r="B6" s="417"/>
      <c r="C6" s="419"/>
      <c r="D6" s="107" t="s">
        <v>16</v>
      </c>
      <c r="E6" s="108" t="s">
        <v>70</v>
      </c>
      <c r="F6" s="109">
        <v>0.1</v>
      </c>
    </row>
    <row r="7" spans="2:6" ht="63" x14ac:dyDescent="0.2">
      <c r="B7" s="417"/>
      <c r="C7" s="419" t="s">
        <v>17</v>
      </c>
      <c r="D7" s="107" t="s">
        <v>10</v>
      </c>
      <c r="E7" s="108" t="s">
        <v>71</v>
      </c>
      <c r="F7" s="109">
        <v>0.25</v>
      </c>
    </row>
    <row r="8" spans="2:6" ht="31.5" x14ac:dyDescent="0.2">
      <c r="B8" s="417"/>
      <c r="C8" s="419"/>
      <c r="D8" s="107" t="s">
        <v>9</v>
      </c>
      <c r="E8" s="108" t="s">
        <v>72</v>
      </c>
      <c r="F8" s="109">
        <v>0.15</v>
      </c>
    </row>
    <row r="9" spans="2:6" ht="47.25" x14ac:dyDescent="0.2">
      <c r="B9" s="417" t="s">
        <v>162</v>
      </c>
      <c r="C9" s="419" t="s">
        <v>18</v>
      </c>
      <c r="D9" s="107" t="s">
        <v>19</v>
      </c>
      <c r="E9" s="108" t="s">
        <v>73</v>
      </c>
      <c r="F9" s="110" t="s">
        <v>74</v>
      </c>
    </row>
    <row r="10" spans="2:6" ht="63" x14ac:dyDescent="0.2">
      <c r="B10" s="417"/>
      <c r="C10" s="419"/>
      <c r="D10" s="107" t="s">
        <v>20</v>
      </c>
      <c r="E10" s="108" t="s">
        <v>75</v>
      </c>
      <c r="F10" s="110" t="s">
        <v>74</v>
      </c>
    </row>
    <row r="11" spans="2:6" ht="47.25" x14ac:dyDescent="0.2">
      <c r="B11" s="417"/>
      <c r="C11" s="419" t="s">
        <v>21</v>
      </c>
      <c r="D11" s="107" t="s">
        <v>22</v>
      </c>
      <c r="E11" s="108" t="s">
        <v>76</v>
      </c>
      <c r="F11" s="110" t="s">
        <v>74</v>
      </c>
    </row>
    <row r="12" spans="2:6" ht="47.25" x14ac:dyDescent="0.2">
      <c r="B12" s="417"/>
      <c r="C12" s="419"/>
      <c r="D12" s="107" t="s">
        <v>23</v>
      </c>
      <c r="E12" s="108" t="s">
        <v>77</v>
      </c>
      <c r="F12" s="110" t="s">
        <v>74</v>
      </c>
    </row>
    <row r="13" spans="2:6" ht="31.5" x14ac:dyDescent="0.2">
      <c r="B13" s="417"/>
      <c r="C13" s="419" t="s">
        <v>24</v>
      </c>
      <c r="D13" s="107" t="s">
        <v>119</v>
      </c>
      <c r="E13" s="108" t="s">
        <v>122</v>
      </c>
      <c r="F13" s="110" t="s">
        <v>74</v>
      </c>
    </row>
    <row r="14" spans="2:6" ht="32.25" thickBot="1" x14ac:dyDescent="0.25">
      <c r="B14" s="420"/>
      <c r="C14" s="421"/>
      <c r="D14" s="111" t="s">
        <v>120</v>
      </c>
      <c r="E14" s="112" t="s">
        <v>121</v>
      </c>
      <c r="F14" s="113" t="s">
        <v>74</v>
      </c>
    </row>
    <row r="15" spans="2:6" ht="49.5" customHeight="1" x14ac:dyDescent="0.2">
      <c r="B15" s="413" t="s">
        <v>159</v>
      </c>
      <c r="C15" s="413"/>
      <c r="D15" s="413"/>
      <c r="E15" s="413"/>
      <c r="F15" s="413"/>
    </row>
    <row r="16" spans="2:6"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Julio Roberto Fuentes Vidal</cp:lastModifiedBy>
  <cp:lastPrinted>2020-05-13T01:12:22Z</cp:lastPrinted>
  <dcterms:created xsi:type="dcterms:W3CDTF">2020-03-24T23:12:47Z</dcterms:created>
  <dcterms:modified xsi:type="dcterms:W3CDTF">2024-08-26T14:54:55Z</dcterms:modified>
</cp:coreProperties>
</file>