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1570" windowHeight="7785"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Indicadores'!$B$11:$AV$91</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Indicadores'!$B$2:$AP$91</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workbook>
</file>

<file path=xl/calcChain.xml><?xml version="1.0" encoding="utf-8"?>
<calcChain xmlns="http://schemas.openxmlformats.org/spreadsheetml/2006/main">
  <c r="V60" i="16" l="1"/>
  <c r="V38" i="16" l="1"/>
  <c r="V18" i="16"/>
  <c r="W25" i="16"/>
  <c r="V25" i="16"/>
  <c r="AJ53" i="16"/>
  <c r="AK53" i="16" s="1"/>
  <c r="V53" i="16"/>
  <c r="W53" i="16" s="1"/>
  <c r="AJ52" i="16"/>
  <c r="AK52" i="16" s="1"/>
  <c r="W52" i="16"/>
  <c r="W60" i="16"/>
  <c r="V59" i="16"/>
  <c r="W35" i="16"/>
  <c r="V35" i="16"/>
  <c r="W34" i="16"/>
  <c r="V34" i="16"/>
  <c r="W19" i="16"/>
  <c r="V19" i="16"/>
  <c r="V30" i="16"/>
  <c r="V32" i="16"/>
  <c r="V33" i="16"/>
  <c r="V29" i="16"/>
  <c r="AK15" i="16"/>
  <c r="V15" i="16"/>
  <c r="W15" i="16" s="1"/>
  <c r="AK14" i="16"/>
  <c r="V14" i="16"/>
  <c r="W14" i="16" s="1"/>
  <c r="V43" i="16"/>
  <c r="V24" i="16"/>
  <c r="W24" i="16" s="1"/>
  <c r="V23" i="16"/>
  <c r="W23" i="16" s="1"/>
  <c r="V21" i="16"/>
  <c r="W21" i="16" s="1"/>
  <c r="V22" i="16"/>
  <c r="W22" i="16" s="1"/>
  <c r="V20" i="16"/>
  <c r="V36" i="16"/>
  <c r="AK27" i="16"/>
  <c r="W27" i="16"/>
  <c r="AJ27" i="16"/>
  <c r="V27" i="16"/>
  <c r="V75" i="16"/>
  <c r="V74" i="16"/>
  <c r="W74" i="16"/>
  <c r="AJ73" i="16"/>
  <c r="AJ71" i="16"/>
  <c r="AK67" i="16"/>
  <c r="V67" i="16"/>
  <c r="W67" i="16" s="1"/>
  <c r="AJ55" i="16" l="1"/>
  <c r="AJ54" i="16"/>
  <c r="AJ51" i="16"/>
  <c r="AJ50" i="16"/>
  <c r="AJ49" i="16"/>
  <c r="AK49" i="16" s="1"/>
  <c r="AJ48" i="16"/>
  <c r="AK48" i="16" s="1"/>
  <c r="AJ47" i="16"/>
  <c r="AK47" i="16" s="1"/>
  <c r="V49" i="16"/>
  <c r="V48" i="16"/>
  <c r="V47" i="16"/>
  <c r="K49" i="16"/>
  <c r="K48" i="16"/>
  <c r="K47" i="16"/>
  <c r="K46" i="16"/>
  <c r="W49" i="16" l="1"/>
  <c r="W47" i="16"/>
  <c r="W48" i="16"/>
  <c r="AJ45" i="16"/>
  <c r="AJ38" i="16"/>
  <c r="AJ35" i="16"/>
  <c r="AK35" i="16" s="1"/>
  <c r="AJ34" i="16"/>
  <c r="AJ28" i="16"/>
  <c r="AJ25" i="16"/>
  <c r="AJ18" i="16" l="1"/>
  <c r="W18" i="16"/>
  <c r="K18" i="16"/>
  <c r="AJ75" i="16" l="1"/>
  <c r="W75" i="16"/>
  <c r="AJ74" i="16"/>
  <c r="AJ43" i="16" l="1"/>
  <c r="K43" i="16"/>
  <c r="AJ42" i="16"/>
  <c r="AJ40" i="16"/>
  <c r="AJ39" i="16"/>
  <c r="M42" i="16"/>
  <c r="K42" i="16"/>
  <c r="K41" i="16"/>
  <c r="AJ37" i="16"/>
  <c r="AJ36" i="16"/>
  <c r="AJ33" i="16"/>
  <c r="AJ32" i="16"/>
  <c r="AJ31" i="16"/>
  <c r="AJ30" i="16"/>
  <c r="AJ29" i="16"/>
  <c r="K33" i="16"/>
  <c r="W33" i="16" s="1"/>
  <c r="K32" i="16"/>
  <c r="W32" i="16" s="1"/>
  <c r="M31" i="16"/>
  <c r="V31" i="16" s="1"/>
  <c r="K31" i="16"/>
  <c r="K30" i="16"/>
  <c r="W30" i="16" s="1"/>
  <c r="K29" i="16"/>
  <c r="W29" i="16" s="1"/>
  <c r="AJ26" i="16"/>
  <c r="AJ24" i="16"/>
  <c r="AK24" i="16" s="1"/>
  <c r="AJ23" i="16"/>
  <c r="AK23" i="16" s="1"/>
  <c r="K24" i="16"/>
  <c r="K23" i="16"/>
  <c r="AK20" i="16"/>
  <c r="AJ22" i="16"/>
  <c r="AK22" i="16" s="1"/>
  <c r="AJ21" i="16"/>
  <c r="AK21" i="16" s="1"/>
  <c r="AJ20" i="16"/>
  <c r="K20" i="16"/>
  <c r="W20" i="16" s="1"/>
  <c r="AJ19" i="16"/>
  <c r="M17" i="16"/>
  <c r="K17" i="16"/>
  <c r="K16" i="16"/>
  <c r="AJ15" i="16"/>
  <c r="AJ14" i="16"/>
  <c r="W31" i="16" l="1"/>
  <c r="AJ56" i="16"/>
  <c r="AJ57" i="16"/>
  <c r="AJ58" i="16"/>
  <c r="AJ59" i="16"/>
  <c r="AA60" i="16"/>
  <c r="AJ60" i="16" s="1"/>
  <c r="AJ61" i="16"/>
  <c r="AJ63" i="16"/>
  <c r="AJ65" i="16"/>
  <c r="AK65" i="16" s="1"/>
  <c r="AA64" i="16"/>
  <c r="AJ64" i="16" s="1"/>
  <c r="AJ69" i="16"/>
  <c r="AJ68" i="16"/>
  <c r="AJ70" i="16"/>
  <c r="AK71" i="16"/>
  <c r="V79" i="16" l="1"/>
  <c r="V80" i="16"/>
  <c r="V81" i="16"/>
  <c r="V82" i="16"/>
  <c r="V84" i="16"/>
  <c r="V89" i="16"/>
  <c r="V90" i="16"/>
  <c r="V78" i="16"/>
  <c r="K64" i="16" l="1"/>
  <c r="AK38" i="16"/>
  <c r="W16" i="16"/>
  <c r="AJ76" i="16" l="1"/>
  <c r="K76" i="16"/>
  <c r="AK73" i="16"/>
  <c r="V73" i="16"/>
  <c r="W73" i="16" s="1"/>
  <c r="AJ72" i="16"/>
  <c r="AK72" i="16" s="1"/>
  <c r="W71" i="16"/>
  <c r="V71" i="16"/>
  <c r="AK70" i="16"/>
  <c r="V70" i="16"/>
  <c r="W70" i="16" s="1"/>
  <c r="AK69" i="16"/>
  <c r="AK68" i="16"/>
  <c r="V68" i="16"/>
  <c r="AJ66" i="16"/>
  <c r="W66" i="16"/>
  <c r="V65" i="16"/>
  <c r="W65" i="16" s="1"/>
  <c r="AK64" i="16"/>
  <c r="V64" i="16"/>
  <c r="W64" i="16" s="1"/>
  <c r="AK63" i="16"/>
  <c r="V63" i="16"/>
  <c r="W63" i="16" s="1"/>
  <c r="AJ62" i="16"/>
  <c r="M62" i="16"/>
  <c r="W62" i="16" s="1"/>
  <c r="K62" i="16"/>
  <c r="AK61" i="16"/>
  <c r="V61" i="16"/>
  <c r="W61" i="16" s="1"/>
  <c r="AK60" i="16"/>
  <c r="AK59" i="16"/>
  <c r="W59" i="16"/>
  <c r="AK58" i="16"/>
  <c r="V58" i="16"/>
  <c r="W58" i="16" s="1"/>
  <c r="AK57" i="16"/>
  <c r="M57" i="16"/>
  <c r="V57" i="16" s="1"/>
  <c r="K57" i="16"/>
  <c r="AK56" i="16"/>
  <c r="V56" i="16"/>
  <c r="W56" i="16" s="1"/>
  <c r="AK55" i="16"/>
  <c r="V55" i="16"/>
  <c r="K55" i="16"/>
  <c r="AK54" i="16"/>
  <c r="M54" i="16"/>
  <c r="V54" i="16" s="1"/>
  <c r="K54" i="16"/>
  <c r="AK51" i="16"/>
  <c r="M51" i="16"/>
  <c r="V51" i="16" s="1"/>
  <c r="K51" i="16"/>
  <c r="AK50" i="16"/>
  <c r="V50" i="16"/>
  <c r="W50" i="16" s="1"/>
  <c r="AJ46" i="16"/>
  <c r="AK46" i="16" s="1"/>
  <c r="M46" i="16"/>
  <c r="V46" i="16" s="1"/>
  <c r="AK45" i="16"/>
  <c r="V45" i="16"/>
  <c r="W45" i="16" s="1"/>
  <c r="AJ44" i="16"/>
  <c r="M44" i="16"/>
  <c r="V44" i="16" s="1"/>
  <c r="K44" i="16"/>
  <c r="AK43" i="16"/>
  <c r="W43" i="16"/>
  <c r="W42" i="16"/>
  <c r="AK40" i="16"/>
  <c r="V40" i="16"/>
  <c r="W40" i="16" s="1"/>
  <c r="AK39" i="16"/>
  <c r="V39" i="16"/>
  <c r="W39" i="16" s="1"/>
  <c r="W38" i="16"/>
  <c r="W51" i="16" l="1"/>
  <c r="W46" i="16"/>
  <c r="W54" i="16"/>
  <c r="W44" i="16"/>
  <c r="W55" i="16"/>
  <c r="W57" i="16"/>
  <c r="W28" i="16" l="1"/>
  <c r="V12" i="16" l="1"/>
  <c r="W12" i="16" s="1"/>
  <c r="X25" i="16" l="1"/>
  <c r="AK25" i="16" s="1"/>
  <c r="AK37" i="16" l="1"/>
  <c r="W37" i="16"/>
  <c r="AK36" i="16"/>
  <c r="W36" i="16"/>
  <c r="AK34" i="16"/>
  <c r="AK31" i="16" l="1"/>
  <c r="AK30" i="16"/>
  <c r="AK33" i="16"/>
  <c r="AK29" i="16"/>
  <c r="AK32" i="16"/>
  <c r="AK28" i="16"/>
  <c r="AK26" i="16"/>
  <c r="W26" i="16"/>
  <c r="AK19" i="16" l="1"/>
  <c r="AK18" i="16"/>
  <c r="AK17" i="16"/>
  <c r="AJ17" i="16"/>
  <c r="AJ16" i="16"/>
  <c r="AK16" i="16"/>
  <c r="X12" i="16"/>
  <c r="AK12" i="16" l="1"/>
  <c r="AJ12" i="16"/>
  <c r="W17" i="16" l="1"/>
</calcChain>
</file>

<file path=xl/comments1.xml><?xml version="1.0" encoding="utf-8"?>
<comments xmlns="http://schemas.openxmlformats.org/spreadsheetml/2006/main">
  <authors>
    <author>User</author>
  </authors>
  <commentList>
    <comment ref="AK74"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AK75"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L78" authorId="0" shapeId="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L79" authorId="0" shapeId="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L80" authorId="0" shapeId="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L81" authorId="0" shapeId="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L82" authorId="0" shapeId="0">
      <text>
        <r>
          <rPr>
            <b/>
            <sz val="9"/>
            <color indexed="81"/>
            <rFont val="Tahoma"/>
            <family val="2"/>
          </rPr>
          <t>User:</t>
        </r>
        <r>
          <rPr>
            <sz val="9"/>
            <color indexed="81"/>
            <rFont val="Tahoma"/>
            <family val="2"/>
          </rPr>
          <t xml:space="preserve">
Información suministrada por la Dirección de Inteligencia para la Movilidad (DIM), 2020</t>
        </r>
      </text>
    </comment>
    <comment ref="L83" authorId="0" shapeId="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L84" authorId="0" shapeId="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L85"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L86"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L87"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9" authorId="0" shapeId="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L90" authorId="0" shapeId="0">
      <text>
        <r>
          <rPr>
            <b/>
            <sz val="9"/>
            <color indexed="81"/>
            <rFont val="Tahoma"/>
            <family val="2"/>
          </rPr>
          <t>User:</t>
        </r>
        <r>
          <rPr>
            <sz val="9"/>
            <color indexed="81"/>
            <rFont val="Tahoma"/>
            <family val="2"/>
          </rPr>
          <t xml:space="preserve">
Información consolidada desde la Dirección de Planeación de la Movilidad y la OTIC.</t>
        </r>
      </text>
    </comment>
    <comment ref="L91"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<sst xmlns="http://schemas.openxmlformats.org/spreadsheetml/2006/main" count="3196" uniqueCount="2598">
  <si>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</si>
  <si>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</si>
  <si>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</si>
  <si>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</si>
  <si>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</si>
  <si>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</si>
  <si>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</si>
  <si>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</si>
  <si>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</si>
  <si>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</si>
  <si>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</si>
  <si>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</si>
  <si>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</si>
  <si>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</si>
  <si>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</si>
  <si>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</si>
  <si>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</si>
  <si>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</si>
  <si>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</si>
  <si>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</si>
  <si>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</si>
  <si>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</si>
  <si>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</si>
  <si>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</si>
  <si>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</si>
  <si>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</si>
  <si>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</si>
  <si>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</si>
  <si>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</si>
  <si>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</si>
  <si>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</si>
  <si>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</si>
  <si>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</si>
  <si>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</si>
  <si>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</si>
  <si>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</si>
  <si>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</si>
  <si>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</si>
  <si>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</si>
  <si>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</si>
  <si>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</si>
  <si>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</si>
  <si>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</si>
  <si>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</si>
  <si>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</si>
  <si>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</si>
  <si>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</si>
  <si>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</si>
  <si>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</si>
  <si>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</si>
  <si>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</si>
  <si>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</si>
  <si>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</si>
  <si>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</si>
  <si>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</si>
  <si>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</si>
  <si>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</si>
  <si>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</si>
  <si>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</si>
  <si>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</si>
  <si>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</si>
  <si>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</si>
  <si>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</si>
  <si>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</si>
  <si>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</si>
  <si>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</si>
  <si>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</si>
  <si>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</si>
  <si>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</si>
  <si>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</si>
  <si>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</si>
  <si>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</si>
  <si>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</si>
  <si>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</si>
  <si>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</si>
  <si>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</si>
  <si>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</si>
  <si>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</si>
  <si>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</si>
  <si>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</si>
  <si>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</si>
  <si>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</si>
  <si>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</si>
  <si>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</si>
  <si>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</si>
  <si>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</si>
  <si>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</si>
  <si>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</si>
  <si>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</si>
  <si>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</si>
  <si>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</si>
  <si>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</si>
  <si>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</si>
  <si>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</si>
  <si>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</si>
  <si>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</si>
  <si>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</si>
  <si>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</si>
  <si>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</si>
  <si>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</si>
  <si>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</si>
  <si>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</si>
  <si>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</si>
  <si>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</si>
  <si>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</si>
  <si>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</si>
  <si>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</si>
  <si>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</si>
  <si>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</si>
  <si>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</si>
  <si>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</si>
  <si>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</si>
  <si>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</si>
  <si>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</si>
  <si>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</si>
  <si>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</si>
  <si>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</si>
  <si>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</si>
  <si>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</si>
  <si>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</si>
  <si>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</si>
  <si>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</si>
  <si>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</si>
  <si>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</si>
  <si>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</si>
  <si>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</si>
  <si>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</si>
  <si>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</si>
  <si>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</si>
  <si>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</si>
  <si>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</si>
  <si>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</si>
  <si>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</si>
  <si>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</si>
  <si>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</si>
  <si>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</si>
  <si>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</si>
  <si>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</si>
  <si>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</si>
  <si>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</si>
  <si>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</si>
  <si>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</si>
  <si>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</si>
  <si>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</si>
  <si>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</si>
  <si>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</si>
  <si>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</si>
  <si>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</si>
  <si>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</si>
  <si>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</si>
  <si>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</si>
  <si>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</si>
  <si>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</si>
  <si>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</si>
  <si>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</si>
  <si>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</si>
  <si>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</si>
  <si>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</si>
  <si>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</si>
  <si>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</si>
  <si>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</si>
  <si>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</si>
  <si>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</si>
  <si>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</si>
  <si>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</si>
  <si>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</si>
  <si>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</si>
  <si>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</si>
  <si>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</si>
  <si>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</si>
  <si>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</si>
  <si>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</si>
  <si>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</si>
  <si>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</si>
  <si>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</si>
  <si>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</si>
  <si>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</si>
  <si>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</si>
  <si>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</si>
  <si>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</si>
  <si>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</si>
  <si>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</si>
  <si>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</si>
  <si>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</si>
  <si>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</si>
  <si>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</si>
  <si>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</si>
  <si>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</si>
  <si>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</si>
  <si>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</si>
  <si>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</si>
  <si>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</si>
  <si>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</si>
  <si>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</si>
  <si>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</si>
  <si>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</si>
  <si>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</si>
  <si>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</si>
  <si>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</si>
  <si>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</si>
  <si>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</si>
  <si>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</si>
  <si>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</si>
  <si>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</si>
  <si>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</si>
  <si>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</si>
  <si>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</si>
  <si>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</si>
  <si>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</si>
  <si>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</si>
  <si>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</si>
  <si>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</si>
  <si>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</si>
  <si>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</si>
  <si>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</si>
  <si>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</si>
  <si>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</si>
  <si>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</si>
  <si>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</si>
  <si>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</si>
  <si>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</si>
  <si>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</si>
  <si>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</si>
  <si>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</si>
  <si>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</si>
  <si>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</si>
  <si>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</si>
  <si>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</si>
  <si>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</si>
  <si>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</si>
  <si>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</si>
  <si>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</si>
  <si>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</si>
  <si>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</si>
  <si>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</si>
  <si>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</si>
  <si>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</si>
  <si>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</si>
  <si>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</si>
  <si>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</si>
  <si>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</si>
  <si>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</si>
  <si>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</si>
  <si>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</si>
  <si>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</si>
  <si>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</si>
  <si>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</si>
  <si>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</si>
  <si>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</si>
  <si>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</si>
  <si>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</si>
  <si>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</si>
  <si>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</si>
  <si>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</si>
  <si>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</si>
  <si>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</si>
  <si>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</si>
  <si>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</si>
  <si>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</si>
  <si>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</si>
  <si>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</si>
  <si>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</si>
  <si>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</si>
  <si>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</si>
  <si>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</si>
  <si>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</si>
  <si>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</si>
  <si>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</si>
  <si>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</si>
  <si>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</si>
  <si>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</si>
  <si>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</si>
  <si>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</si>
  <si>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</si>
  <si>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</si>
  <si>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</si>
  <si>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</si>
  <si>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</si>
  <si>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</si>
  <si>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</si>
  <si>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</si>
  <si>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</si>
  <si>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</si>
  <si>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</si>
  <si>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</si>
  <si>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</si>
  <si>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</si>
  <si>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</si>
  <si>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</si>
  <si>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</si>
  <si>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</si>
  <si>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</si>
  <si>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</si>
  <si>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</si>
  <si>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</si>
  <si>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</si>
  <si>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</si>
  <si>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</si>
  <si>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</si>
  <si>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</si>
  <si>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</si>
  <si>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</si>
  <si>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</si>
  <si>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</si>
  <si>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</si>
  <si>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</si>
  <si>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</si>
  <si>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</si>
  <si>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</si>
  <si>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</si>
  <si>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</si>
  <si>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</si>
  <si>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</si>
  <si>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</si>
  <si>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</si>
  <si>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</si>
  <si>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</si>
  <si>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</si>
  <si>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</si>
  <si>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</si>
  <si>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</si>
  <si>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</si>
  <si>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</si>
  <si>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</si>
  <si>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</si>
  <si>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</si>
  <si>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</si>
  <si>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</si>
  <si>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</si>
  <si>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</si>
  <si>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</si>
  <si>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</si>
  <si>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</si>
  <si>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</si>
  <si>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</si>
  <si>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</si>
  <si>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</si>
  <si>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</si>
  <si>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</si>
  <si>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</si>
  <si>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</si>
  <si>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</si>
  <si>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</si>
  <si>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</si>
  <si>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</si>
  <si>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</si>
  <si>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</si>
  <si>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</si>
  <si>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</si>
  <si>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</si>
  <si>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</si>
  <si>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</si>
  <si>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</si>
  <si>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</si>
  <si>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</si>
  <si>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</si>
  <si>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</si>
  <si>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</si>
  <si>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</si>
  <si>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</si>
  <si>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</si>
  <si>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</si>
  <si>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</si>
  <si>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</si>
  <si>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</si>
  <si>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</si>
  <si>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</si>
  <si>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</si>
  <si>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</si>
  <si>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</si>
  <si>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</si>
  <si>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</si>
  <si>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</si>
  <si>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</si>
  <si>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</si>
  <si>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</si>
  <si>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</si>
  <si>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</si>
  <si>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</si>
  <si>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</si>
  <si>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</si>
  <si>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</si>
  <si>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</si>
  <si>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</si>
  <si>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</si>
  <si>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</si>
  <si>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</si>
  <si>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</si>
  <si>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</si>
  <si>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</si>
  <si>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</si>
  <si>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</si>
  <si>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</si>
  <si>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</si>
  <si>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</si>
  <si>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</si>
  <si>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</si>
  <si>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</si>
  <si>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</si>
  <si>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</si>
  <si>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</si>
  <si>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</si>
  <si>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</si>
  <si>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</si>
  <si>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</si>
  <si>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</si>
  <si>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</si>
  <si>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</si>
  <si>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</si>
  <si>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</si>
  <si>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</si>
  <si>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</si>
  <si>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</si>
  <si>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</si>
  <si>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</si>
  <si>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</si>
  <si>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</si>
  <si>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</si>
  <si>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</si>
  <si>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</si>
  <si>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</si>
  <si>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</si>
  <si>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</si>
  <si>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</si>
  <si>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</si>
  <si>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</si>
  <si>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</si>
  <si>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</si>
  <si>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</si>
  <si>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</si>
  <si>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</si>
  <si>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</si>
  <si>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</si>
  <si>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</si>
  <si>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</si>
  <si>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</si>
  <si>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</si>
  <si>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</si>
  <si>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</si>
  <si>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</si>
  <si>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</si>
  <si>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</si>
  <si>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</si>
  <si>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</si>
  <si>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</si>
  <si>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</si>
  <si>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</si>
  <si>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</si>
  <si>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</si>
  <si>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</si>
  <si>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</si>
  <si>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</si>
  <si>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</si>
  <si>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</si>
  <si>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</si>
  <si>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</si>
  <si>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</si>
  <si>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</si>
  <si>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</si>
  <si>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</si>
  <si>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</si>
  <si>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</si>
  <si>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</si>
  <si>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</si>
  <si>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</si>
  <si>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</si>
  <si>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</si>
  <si>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</si>
  <si>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</si>
  <si>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</si>
  <si>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</si>
  <si>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</si>
  <si>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</si>
  <si>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</si>
  <si>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</si>
  <si>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</si>
  <si>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</si>
  <si>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</si>
  <si>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</si>
  <si>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</si>
  <si>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</si>
  <si>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</si>
  <si>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</si>
  <si>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</si>
  <si>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</si>
  <si>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</si>
  <si>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</si>
  <si>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</si>
  <si>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</si>
  <si>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</si>
  <si>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</si>
  <si>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</si>
  <si>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</si>
  <si>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</si>
  <si>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</si>
  <si>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</si>
  <si>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</si>
  <si>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</si>
  <si>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</si>
  <si>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</si>
  <si>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</si>
  <si>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</si>
  <si>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</si>
  <si>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</si>
  <si>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</si>
  <si>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</si>
  <si>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</si>
  <si>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</si>
  <si>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</si>
  <si>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</si>
  <si>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</si>
  <si>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</si>
  <si>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</si>
  <si>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</si>
  <si>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</si>
  <si>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</si>
  <si>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</si>
  <si>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</si>
  <si>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</si>
  <si>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</si>
  <si>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</si>
  <si>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</si>
  <si>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</si>
  <si>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</si>
  <si>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</si>
  <si>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</si>
  <si>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</si>
  <si>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</si>
  <si>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</si>
  <si>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</si>
  <si>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</si>
  <si>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</si>
  <si>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</si>
  <si>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</si>
  <si>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</si>
  <si>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</si>
  <si>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</si>
  <si>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</si>
  <si>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</si>
  <si>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</si>
  <si>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</si>
  <si>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</si>
  <si>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</si>
  <si>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</si>
  <si>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</si>
  <si>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</si>
  <si>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</si>
  <si>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</si>
  <si>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</si>
  <si>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</si>
  <si>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</si>
  <si>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</si>
  <si>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</si>
  <si>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</si>
  <si>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</si>
  <si>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</si>
  <si>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</si>
  <si>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</si>
  <si>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</si>
  <si>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</si>
  <si>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</si>
  <si>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</si>
  <si>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</si>
  <si>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</si>
  <si>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</si>
  <si>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</si>
  <si>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</si>
  <si>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</si>
  <si>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</si>
  <si>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</si>
  <si>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</si>
  <si>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</si>
  <si>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</si>
  <si>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</si>
  <si>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</si>
  <si>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</si>
  <si>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</si>
  <si>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</si>
  <si>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</si>
  <si>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</si>
  <si>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</si>
  <si>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</si>
  <si>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</si>
  <si>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</si>
  <si>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</si>
  <si>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</si>
  <si>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</si>
  <si>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</si>
  <si>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</si>
  <si>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</si>
  <si>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</si>
  <si>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</si>
  <si>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</si>
  <si>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</si>
  <si>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</si>
  <si>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</si>
  <si>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</si>
  <si>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</si>
  <si>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</si>
  <si>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</si>
  <si>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</si>
  <si>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</si>
  <si>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</si>
  <si>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</si>
  <si>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</si>
  <si>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</si>
  <si>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</si>
  <si>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</si>
  <si>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</si>
  <si>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</si>
  <si>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</si>
  <si>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</si>
  <si>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</si>
  <si>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</si>
  <si>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</si>
  <si>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</si>
  <si>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</si>
  <si>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</si>
  <si>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</si>
  <si>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</si>
  <si>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</si>
  <si>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</si>
  <si>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</si>
  <si>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</si>
  <si>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</si>
  <si>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</si>
  <si>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</si>
  <si>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</si>
  <si>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</si>
  <si>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</si>
  <si>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</si>
  <si>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</si>
  <si>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</si>
  <si>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</si>
  <si>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</si>
  <si>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</si>
  <si>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</si>
  <si>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</si>
  <si>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</si>
  <si>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</si>
  <si>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</si>
  <si>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</si>
  <si>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</si>
  <si>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</si>
  <si>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</si>
  <si>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</si>
  <si>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</si>
  <si>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</si>
  <si>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</si>
  <si>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</si>
  <si>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</si>
  <si>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</si>
  <si>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</si>
  <si>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</si>
  <si>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</si>
  <si>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</si>
  <si>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</si>
  <si>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</si>
  <si>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</si>
  <si>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</si>
  <si>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</si>
  <si>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</si>
  <si>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</si>
  <si>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</si>
  <si>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</si>
  <si>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</si>
  <si>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</si>
  <si>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</si>
  <si>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</si>
  <si>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</si>
  <si>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</si>
  <si>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</si>
  <si>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</si>
  <si>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</si>
  <si>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</si>
  <si>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</si>
  <si>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</si>
  <si>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</si>
  <si>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</si>
  <si>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</si>
  <si>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</si>
  <si>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</si>
  <si>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</si>
  <si>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</si>
  <si>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</si>
  <si>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</si>
  <si>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</si>
  <si>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</si>
  <si>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</si>
  <si>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</si>
  <si>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</si>
  <si>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</si>
  <si>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</si>
  <si>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</si>
  <si>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</si>
  <si>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</si>
  <si>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</si>
  <si>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</si>
  <si>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</si>
  <si>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</si>
  <si>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</si>
  <si>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</si>
  <si>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</si>
  <si>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</si>
  <si>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</si>
  <si>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</si>
  <si>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</si>
  <si>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</si>
  <si>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</si>
  <si>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</si>
  <si>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</si>
  <si>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</si>
  <si>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</si>
  <si>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</si>
  <si>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</si>
  <si>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</si>
  <si>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</si>
  <si>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</si>
  <si>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</si>
  <si>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</si>
  <si>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</si>
  <si>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</si>
  <si>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</si>
  <si>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</si>
  <si>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</si>
  <si>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</si>
  <si>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</si>
  <si>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</si>
  <si>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</si>
  <si>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</si>
  <si>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</si>
  <si>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</si>
  <si>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</si>
  <si>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</si>
  <si>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</si>
  <si>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</si>
  <si>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</si>
  <si>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</si>
  <si>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</si>
  <si>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</si>
  <si>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</si>
  <si>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</si>
  <si>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</si>
  <si>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</si>
  <si>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</si>
  <si>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</si>
  <si>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</si>
  <si>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</si>
  <si>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</si>
  <si>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</si>
  <si>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</si>
  <si>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</si>
  <si>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</si>
  <si>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</si>
  <si>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</si>
  <si>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</si>
  <si>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</si>
  <si>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</si>
  <si>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</si>
  <si>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</si>
  <si>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</si>
  <si>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</si>
  <si>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</si>
  <si>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</si>
  <si>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</si>
  <si>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</si>
  <si>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</si>
  <si>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</si>
  <si>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</si>
  <si>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</si>
  <si>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</si>
  <si>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</si>
  <si>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</si>
  <si>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</si>
  <si>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</si>
  <si>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</si>
  <si>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</si>
  <si>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</si>
  <si>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</si>
  <si>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</si>
  <si>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</si>
  <si>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</si>
  <si>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</si>
  <si>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</si>
  <si>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</si>
  <si>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</si>
  <si>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</si>
  <si>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</si>
  <si>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</si>
  <si>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</si>
  <si>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</si>
  <si>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</si>
  <si>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</si>
  <si>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</si>
  <si>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</si>
  <si>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</si>
  <si>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</si>
  <si>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</si>
  <si>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</si>
  <si>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</si>
  <si>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</si>
  <si>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</si>
  <si>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</si>
  <si>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</si>
  <si>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</si>
  <si>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</si>
  <si>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</si>
  <si>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</si>
  <si>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</si>
  <si>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</si>
  <si>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</si>
  <si>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</si>
  <si>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</si>
  <si>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</si>
  <si>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</si>
  <si>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</si>
  <si>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</si>
  <si>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</si>
  <si>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</si>
  <si>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</si>
  <si>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</si>
  <si>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</si>
  <si>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</si>
  <si>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</si>
  <si>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</si>
  <si>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</si>
  <si>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</si>
  <si>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</si>
  <si>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</si>
  <si>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</si>
  <si>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</si>
  <si>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</si>
  <si>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</si>
  <si>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</si>
  <si>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</si>
  <si>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</si>
  <si>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</si>
  <si>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</si>
  <si>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</si>
  <si>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</si>
  <si>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</si>
  <si>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</si>
  <si>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</si>
  <si>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</si>
  <si>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</si>
  <si>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</si>
  <si>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</si>
  <si>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</si>
  <si>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</si>
  <si>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</si>
  <si>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</si>
  <si>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</si>
  <si>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</si>
  <si>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</si>
  <si>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</si>
  <si>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</si>
  <si>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</si>
  <si>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</si>
  <si>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</si>
  <si>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</si>
  <si>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</si>
  <si>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</si>
  <si>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</si>
  <si>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</si>
  <si>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</si>
  <si>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</si>
  <si>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</si>
  <si>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</si>
  <si>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</si>
  <si>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</si>
  <si>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</si>
  <si>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</si>
  <si>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</si>
  <si>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</si>
  <si>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</si>
  <si>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</si>
  <si>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</si>
  <si>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</si>
  <si>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</si>
  <si>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</si>
  <si>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</si>
  <si>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</si>
  <si>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</si>
  <si>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</si>
  <si>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</si>
  <si>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</si>
  <si>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</si>
  <si>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</si>
  <si>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</si>
  <si>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</si>
  <si>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</si>
  <si>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</si>
  <si>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</si>
  <si>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</si>
  <si>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</si>
  <si>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</si>
  <si>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</si>
  <si>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</si>
  <si>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</si>
  <si>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</si>
  <si>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</si>
  <si>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</si>
  <si>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</si>
  <si>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</si>
  <si>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</si>
  <si>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</si>
  <si>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</si>
  <si>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</si>
  <si>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</si>
  <si>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</si>
  <si>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</si>
  <si>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</si>
  <si>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</si>
  <si>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</si>
  <si>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</si>
  <si>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</si>
  <si>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</si>
  <si>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</si>
  <si>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</si>
  <si>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</si>
  <si>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</si>
  <si>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</si>
  <si>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</si>
  <si>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</si>
  <si>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</si>
  <si>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</si>
  <si>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</si>
  <si>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</si>
  <si>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</si>
  <si>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</si>
  <si>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</si>
  <si>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</si>
  <si>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</si>
  <si>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</si>
  <si>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</si>
  <si>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</si>
  <si>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</si>
  <si>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</si>
  <si>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</si>
  <si>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</si>
  <si>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</si>
  <si>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</si>
  <si>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</si>
  <si>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</si>
  <si>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</si>
  <si>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</si>
  <si>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</si>
  <si>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</si>
  <si>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</si>
  <si>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</si>
  <si>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</si>
  <si>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</si>
  <si>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</si>
  <si>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</si>
  <si>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</si>
  <si>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</si>
  <si>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</si>
  <si>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</si>
  <si>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</si>
  <si>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</si>
  <si>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</si>
  <si>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</si>
  <si>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</si>
  <si>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</si>
  <si>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</si>
  <si>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</si>
  <si>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</si>
  <si>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</si>
  <si>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</si>
  <si>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</si>
  <si>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</si>
  <si>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</si>
  <si>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</si>
  <si>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</si>
  <si>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</si>
  <si>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</si>
  <si>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</si>
  <si>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</si>
  <si>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</si>
  <si>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</si>
  <si>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</si>
  <si>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</si>
  <si>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</si>
  <si>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</si>
  <si>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</si>
  <si>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</si>
  <si>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</si>
  <si>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</si>
  <si>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</si>
  <si>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</si>
  <si>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</si>
  <si>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</si>
  <si>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</si>
  <si>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</si>
  <si>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</si>
  <si>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</si>
  <si>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</si>
  <si>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</si>
  <si>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</si>
  <si>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</si>
  <si>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</si>
  <si>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</si>
  <si>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</si>
  <si>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</si>
  <si>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</si>
  <si>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</si>
  <si>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</si>
  <si>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</si>
  <si>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</si>
  <si>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</si>
  <si>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</si>
  <si>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</si>
  <si>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</si>
  <si>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</si>
  <si>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</si>
  <si>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</si>
  <si>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</si>
  <si>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</si>
  <si>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</si>
  <si>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</si>
  <si>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</si>
  <si>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</si>
  <si>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</si>
  <si>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</si>
  <si>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</si>
  <si>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</si>
  <si>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</si>
  <si>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</si>
  <si>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</si>
  <si>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</si>
  <si>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</si>
  <si>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</si>
  <si>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</si>
  <si>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</si>
  <si>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</si>
  <si>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</si>
  <si>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</si>
  <si>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</si>
  <si>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</si>
  <si>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</si>
  <si>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</si>
  <si>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</si>
  <si>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</si>
  <si>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</si>
  <si>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</si>
  <si>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</si>
  <si>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</si>
  <si>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</si>
  <si>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</si>
  <si>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</si>
  <si>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</si>
  <si>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</si>
  <si>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</si>
  <si>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</si>
  <si>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</si>
  <si>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</si>
  <si>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</si>
  <si>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</si>
  <si>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</si>
  <si>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</si>
  <si>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</si>
  <si>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</si>
  <si>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</si>
  <si>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</si>
  <si>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</si>
  <si>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</si>
  <si>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</si>
  <si>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</si>
  <si>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</si>
  <si>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</si>
  <si>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</si>
  <si>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</si>
  <si>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</si>
  <si>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</si>
  <si>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</si>
  <si>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</si>
  <si>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</si>
  <si>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</si>
  <si>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</si>
  <si>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</si>
  <si>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</si>
  <si>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</si>
  <si>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</si>
  <si>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</si>
  <si>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</si>
  <si>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</si>
  <si>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</si>
  <si>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</si>
  <si>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</si>
  <si>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</si>
  <si>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</si>
  <si>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</si>
  <si>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</si>
  <si>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</si>
  <si>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</si>
  <si>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</si>
  <si>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</si>
  <si>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</si>
  <si>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</si>
  <si>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</si>
  <si>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</si>
  <si>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</si>
  <si>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</si>
  <si>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</si>
  <si>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</si>
  <si>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</si>
  <si>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</si>
  <si>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</si>
  <si>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</si>
  <si>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</si>
  <si>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</si>
  <si>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</si>
  <si>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</si>
  <si>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</si>
  <si>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</si>
  <si>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</si>
  <si>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</si>
  <si>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</si>
  <si>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</si>
  <si>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</si>
  <si>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</si>
  <si>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</si>
  <si>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</si>
  <si>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</si>
  <si>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</si>
  <si>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</si>
  <si>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</si>
  <si>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</si>
  <si>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</si>
  <si>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</si>
  <si>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</si>
  <si>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</si>
  <si>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</si>
  <si>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</si>
  <si>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</si>
  <si>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</si>
  <si>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</si>
  <si>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</si>
  <si>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</si>
  <si>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</si>
  <si>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</si>
  <si>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</si>
  <si>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</si>
  <si>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</si>
  <si>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</si>
  <si>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</si>
  <si>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</si>
  <si>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</si>
  <si>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</si>
  <si>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</si>
  <si>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</si>
  <si>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</si>
  <si>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</si>
  <si>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</si>
  <si>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</si>
  <si>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</si>
  <si>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</si>
  <si>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</si>
  <si>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</si>
  <si>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</si>
  <si>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</si>
  <si>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</si>
  <si>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</si>
  <si>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</si>
  <si>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</si>
  <si>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</si>
  <si>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</si>
  <si>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</si>
  <si>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</si>
  <si>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</si>
  <si>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</si>
  <si>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</si>
  <si>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</si>
  <si>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</si>
  <si>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</si>
  <si>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</si>
  <si>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</si>
  <si>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</si>
  <si>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</si>
  <si>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</si>
  <si>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</si>
  <si>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</si>
  <si>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</si>
  <si>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</si>
  <si>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</si>
  <si>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</si>
  <si>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</si>
  <si>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</si>
  <si>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</si>
  <si>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</si>
  <si>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</si>
  <si>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</si>
  <si>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</si>
  <si>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</si>
  <si>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</si>
  <si>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</si>
  <si>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</si>
  <si>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</si>
  <si>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</si>
  <si>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</si>
  <si>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</si>
  <si>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</si>
  <si>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</si>
  <si>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</si>
  <si>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</si>
  <si>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</si>
  <si>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</si>
  <si>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</si>
  <si>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</si>
  <si>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</si>
  <si>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</si>
  <si>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</si>
  <si>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</si>
  <si>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</si>
  <si>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</si>
  <si>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</si>
  <si>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</si>
  <si>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</si>
  <si>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</si>
  <si>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</si>
  <si>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</si>
  <si>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</si>
  <si>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</si>
  <si>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</si>
  <si>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</si>
  <si>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</si>
  <si>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</si>
  <si>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</si>
  <si>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</si>
  <si>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</si>
  <si>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</si>
  <si>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</si>
  <si>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</si>
  <si>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</si>
  <si>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</si>
  <si>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</si>
  <si>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</si>
  <si>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</si>
  <si>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</si>
  <si>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</si>
  <si>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</si>
  <si>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</si>
  <si>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</si>
  <si>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</si>
  <si>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</si>
  <si>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</si>
  <si>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</si>
  <si>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</si>
  <si>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</si>
  <si>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</si>
  <si>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</si>
  <si>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</si>
  <si>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</si>
  <si>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</si>
  <si>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</si>
  <si>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</si>
  <si>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</si>
  <si>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</si>
  <si>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</si>
  <si>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</si>
  <si>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</si>
  <si>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</si>
  <si>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</si>
  <si>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</si>
  <si>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</si>
  <si>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</si>
  <si>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</si>
  <si>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</si>
  <si>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</si>
  <si>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</si>
  <si>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</si>
  <si>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</si>
  <si>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</si>
  <si>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</si>
  <si>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</si>
  <si>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</si>
  <si>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</si>
  <si>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</si>
  <si>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</si>
  <si>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</si>
  <si>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</si>
  <si>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</si>
  <si>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</si>
  <si>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</si>
  <si>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</si>
  <si>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</si>
  <si>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</si>
  <si>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</si>
  <si>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</si>
  <si>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</si>
  <si>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</si>
  <si>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</si>
  <si>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</si>
  <si>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</si>
  <si>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</si>
  <si>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</si>
  <si>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</si>
  <si>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</si>
  <si>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</si>
  <si>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</si>
  <si>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</si>
  <si>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</si>
  <si>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</si>
  <si>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</si>
  <si>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</si>
  <si>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</si>
  <si>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</si>
  <si>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</si>
  <si>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</si>
  <si>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</si>
  <si>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</si>
  <si>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</si>
  <si>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</si>
  <si>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</si>
  <si>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</si>
  <si>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</si>
  <si>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</si>
  <si>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</si>
  <si>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</si>
  <si>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</si>
  <si>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</si>
  <si>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</si>
  <si>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</si>
  <si>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</si>
  <si>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</si>
  <si>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</si>
  <si>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</si>
  <si>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</si>
  <si>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</si>
  <si>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</si>
  <si>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</si>
  <si>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</si>
  <si>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</si>
  <si>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</si>
  <si>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</si>
  <si>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</si>
  <si>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</si>
  <si>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</si>
  <si>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</si>
  <si>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</si>
  <si>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</si>
  <si>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</si>
  <si>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</si>
  <si>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</si>
  <si>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</si>
  <si>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</si>
  <si>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</si>
  <si>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</si>
  <si>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</si>
  <si>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</si>
  <si>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</si>
  <si>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</si>
  <si>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</si>
  <si>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</si>
  <si>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</si>
  <si>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</si>
  <si>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</si>
  <si>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</si>
  <si>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</si>
  <si>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</si>
  <si>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</si>
  <si>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</si>
  <si>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</si>
  <si>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</si>
  <si>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</si>
  <si>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</si>
  <si>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</si>
  <si>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</si>
  <si>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</si>
  <si>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</si>
  <si>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</si>
  <si>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</si>
  <si>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</si>
  <si>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</si>
  <si>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</si>
  <si>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</si>
  <si>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</si>
  <si>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</si>
  <si>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</si>
  <si>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</si>
  <si>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</si>
  <si>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</si>
  <si>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</si>
  <si>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</si>
  <si>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</si>
  <si>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</si>
  <si>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</si>
  <si>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</si>
  <si>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</si>
  <si>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</si>
  <si>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</si>
  <si>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</si>
  <si>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</si>
  <si>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</si>
  <si>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</si>
  <si>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</si>
  <si>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</si>
  <si>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</si>
  <si>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</si>
  <si>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</si>
  <si>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</si>
  <si>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</si>
  <si>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</si>
  <si>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</si>
  <si>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</si>
  <si>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</si>
  <si>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</si>
  <si>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</si>
  <si>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</si>
  <si>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</si>
  <si>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</si>
  <si>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</si>
  <si>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</si>
  <si>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</si>
  <si>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</si>
  <si>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</si>
  <si>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</si>
  <si>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</si>
  <si>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</si>
  <si>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</si>
  <si>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</si>
  <si>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</si>
  <si>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</si>
  <si>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</si>
  <si>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</si>
  <si>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</si>
  <si>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</si>
  <si>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</si>
  <si>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</si>
  <si>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</si>
  <si>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</si>
  <si>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</si>
  <si>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</si>
  <si>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</si>
  <si>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</si>
  <si>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</si>
  <si>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</si>
  <si>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</si>
  <si>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</si>
  <si>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</si>
  <si>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</si>
  <si>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</si>
  <si>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</si>
  <si>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</si>
  <si>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</si>
  <si>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</si>
  <si>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</si>
  <si>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</si>
  <si>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</si>
  <si>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</si>
  <si>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</si>
  <si>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</si>
  <si>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</si>
  <si>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</si>
  <si>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</si>
  <si>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</si>
  <si>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</si>
  <si>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</si>
  <si>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</si>
  <si>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</si>
  <si>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</si>
  <si>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</si>
  <si>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</si>
  <si>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</si>
  <si>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</si>
  <si>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</si>
  <si>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</si>
  <si>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</si>
  <si>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</si>
  <si>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</si>
  <si>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</si>
  <si>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</si>
  <si>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</si>
  <si>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</si>
  <si>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</si>
  <si>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</si>
  <si>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</si>
  <si>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</si>
  <si>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</si>
  <si>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</si>
  <si>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</si>
  <si>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</si>
  <si>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</si>
  <si>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</si>
  <si>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</si>
  <si>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</si>
  <si>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</si>
  <si>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</si>
  <si>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</si>
  <si>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</si>
  <si>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</si>
  <si>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</si>
  <si>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</si>
  <si>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</si>
  <si>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</si>
  <si>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</si>
  <si>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</si>
  <si>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</si>
  <si>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</si>
  <si>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</si>
  <si>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</si>
  <si>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</si>
  <si>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</si>
  <si>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</si>
  <si>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</si>
  <si>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</si>
  <si>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</si>
  <si>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</si>
  <si>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</si>
  <si>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</si>
  <si>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</si>
  <si>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</si>
  <si>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</si>
  <si>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</si>
  <si>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</si>
  <si>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</si>
  <si>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</si>
  <si>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</si>
  <si>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</si>
  <si>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</si>
  <si>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</si>
  <si>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</si>
  <si>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</si>
  <si>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</si>
  <si>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</si>
  <si>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</si>
  <si>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</si>
  <si>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</si>
  <si>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</si>
  <si>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</si>
  <si>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</si>
  <si>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</si>
  <si>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</si>
  <si>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</si>
  <si>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</si>
  <si>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</si>
  <si>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</si>
  <si>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</si>
  <si>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</si>
  <si>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</si>
  <si>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</si>
  <si>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</si>
  <si>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</si>
  <si>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</si>
  <si>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</si>
  <si>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</si>
  <si>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</si>
  <si>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</si>
  <si>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</si>
  <si>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</si>
  <si>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</si>
  <si>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</si>
  <si>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</si>
  <si>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</si>
  <si>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</si>
  <si>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</si>
  <si>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</si>
  <si>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</si>
  <si>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</si>
  <si>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</si>
  <si>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</si>
  <si>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</si>
  <si>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</si>
  <si>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</si>
  <si>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</si>
  <si>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</si>
  <si>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</si>
  <si>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</si>
  <si>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</si>
  <si>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</si>
  <si>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</si>
  <si>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</si>
  <si>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</si>
  <si>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</si>
  <si>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</si>
  <si>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</si>
  <si>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</si>
  <si>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</si>
  <si>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</si>
  <si>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</si>
  <si>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</si>
  <si>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</si>
  <si>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</si>
  <si>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</si>
  <si>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</si>
  <si>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</si>
  <si>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</si>
  <si>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</si>
  <si>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</si>
  <si>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</si>
  <si>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</si>
  <si>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</si>
  <si>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</si>
  <si>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</si>
  <si>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</si>
  <si>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</si>
  <si>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</si>
  <si>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</si>
  <si>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</si>
  <si>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</si>
  <si>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</si>
  <si>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</si>
  <si>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</si>
  <si>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</si>
  <si>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</si>
  <si>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</si>
  <si>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</si>
  <si>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</si>
  <si>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</si>
  <si>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</si>
  <si>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</si>
  <si>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</si>
  <si>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</si>
  <si>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</si>
  <si>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</si>
  <si>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</si>
  <si>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</si>
  <si>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</si>
  <si>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</si>
  <si>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</si>
  <si>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</si>
  <si>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</si>
  <si>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</si>
  <si>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</si>
  <si>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</si>
  <si>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</si>
  <si>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</si>
  <si>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</si>
  <si>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</si>
  <si>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</si>
  <si>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</si>
  <si>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</si>
  <si>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</si>
  <si>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</si>
  <si>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</si>
  <si>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</si>
  <si>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</si>
  <si>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</si>
  <si>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</si>
  <si>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</si>
  <si>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</si>
  <si>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</si>
  <si>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</si>
  <si>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</si>
  <si>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</si>
  <si>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</si>
  <si>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</si>
  <si>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</si>
  <si>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</si>
  <si>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</si>
  <si>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</si>
  <si>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</si>
  <si>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</si>
  <si>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</si>
  <si>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</si>
  <si>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</si>
  <si>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</si>
  <si>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</si>
  <si>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</si>
  <si>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</si>
  <si>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</si>
  <si>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</si>
  <si>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</si>
  <si>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</si>
  <si>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</si>
  <si>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</si>
  <si>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</si>
  <si>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</si>
  <si>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</si>
  <si>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</si>
  <si>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</si>
  <si>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</si>
  <si>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</si>
  <si>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</si>
  <si>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</si>
  <si>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</si>
  <si>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</si>
  <si>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</si>
  <si>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</si>
  <si>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</si>
  <si>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</si>
  <si>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</si>
  <si>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</si>
  <si>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</si>
  <si>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</si>
  <si>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</si>
  <si>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</si>
  <si>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</si>
  <si>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</si>
  <si>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</si>
  <si>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</si>
  <si>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</si>
  <si>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</si>
  <si>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</si>
  <si>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</si>
  <si>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</si>
  <si>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</si>
  <si>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</si>
  <si>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</si>
  <si>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</si>
  <si>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</si>
  <si>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</si>
  <si>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</si>
  <si>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</si>
  <si>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</si>
  <si>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</si>
  <si>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</si>
  <si>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</si>
  <si>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</si>
  <si>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</si>
  <si>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</si>
  <si>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</si>
  <si>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</si>
  <si>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</si>
  <si>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</si>
  <si>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</si>
  <si>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</si>
  <si>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</si>
  <si>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</si>
  <si>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</si>
  <si>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</si>
  <si>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</si>
  <si>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</si>
  <si>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</si>
  <si>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</si>
  <si>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</si>
  <si>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</si>
  <si>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</si>
  <si>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</si>
  <si>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</si>
  <si>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</si>
  <si>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</si>
  <si>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</si>
  <si>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</si>
  <si>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</si>
  <si>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</si>
  <si>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</si>
  <si>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</si>
  <si>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</si>
  <si>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</si>
  <si>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</si>
  <si>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</si>
  <si>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</si>
  <si>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</si>
  <si>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</si>
  <si>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</si>
  <si>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</si>
  <si>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</si>
  <si>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</si>
  <si>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</si>
  <si>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</si>
  <si>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</si>
  <si>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</si>
  <si>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</si>
  <si>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</si>
  <si>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</si>
  <si>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</si>
  <si>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</si>
  <si>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</si>
  <si>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</si>
  <si>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</si>
  <si>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</si>
  <si>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</si>
  <si>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</si>
  <si>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</si>
  <si>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</si>
  <si>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</si>
  <si>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</si>
  <si>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</si>
  <si>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</si>
  <si>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</si>
  <si>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</si>
  <si>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</si>
  <si>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</si>
  <si>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</si>
  <si>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</si>
  <si>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</si>
  <si>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</si>
  <si>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</si>
  <si>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</si>
  <si>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</si>
  <si>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</si>
  <si>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</si>
  <si>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</si>
  <si>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</si>
  <si>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</si>
  <si>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</si>
  <si>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</si>
  <si>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</si>
  <si>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</si>
  <si>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</si>
  <si>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</si>
  <si>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</si>
  <si>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</si>
  <si>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</si>
  <si>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</si>
  <si>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</si>
  <si>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</si>
  <si>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</si>
  <si>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</si>
  <si>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</si>
  <si>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</si>
  <si>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</si>
  <si>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</si>
  <si>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</si>
  <si>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</si>
  <si>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</si>
  <si>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</si>
  <si>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</si>
  <si>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</si>
  <si>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</si>
  <si>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</si>
  <si>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</si>
  <si>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</si>
  <si>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</si>
  <si>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</si>
  <si>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</si>
  <si>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</si>
  <si>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</si>
  <si>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</si>
  <si>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</si>
  <si>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</si>
  <si>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</si>
  <si>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</si>
  <si>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</si>
  <si>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</si>
  <si>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</si>
  <si>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</si>
  <si>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</si>
  <si>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</si>
  <si>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</si>
  <si>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</si>
  <si>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</si>
  <si>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</si>
  <si>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</si>
  <si>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</si>
  <si>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</si>
  <si>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</si>
  <si>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</si>
  <si>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</si>
  <si>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</si>
  <si>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</si>
  <si>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</si>
  <si>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</si>
  <si>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</si>
  <si>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</si>
  <si>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</si>
  <si>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</si>
  <si>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</si>
  <si>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</si>
  <si>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</si>
  <si>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</si>
  <si>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</si>
  <si>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</si>
  <si>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</si>
  <si>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</si>
  <si>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</si>
  <si>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</si>
  <si>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</si>
  <si>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</si>
  <si>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</si>
  <si>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</si>
  <si>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</si>
  <si>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</si>
  <si>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</si>
  <si>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</si>
  <si>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</si>
  <si>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</si>
  <si>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</si>
  <si>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</si>
  <si>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</si>
  <si>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</si>
  <si>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</si>
  <si>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</si>
  <si>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</si>
  <si>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</si>
  <si>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</si>
  <si>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</si>
  <si>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</si>
  <si>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</si>
  <si>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</si>
  <si>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</si>
  <si>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</si>
  <si>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</si>
  <si>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</si>
  <si>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</si>
  <si>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</si>
  <si>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</si>
  <si>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</si>
  <si>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</si>
  <si>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</si>
  <si>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</si>
  <si>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</si>
  <si>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</si>
  <si>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</si>
  <si>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</si>
  <si>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</si>
  <si>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</si>
  <si>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</si>
  <si>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</si>
  <si>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</si>
  <si>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</si>
  <si>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</si>
  <si>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</si>
  <si>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</si>
  <si>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</si>
  <si>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</si>
  <si>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</si>
  <si>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</si>
  <si>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</si>
  <si>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</si>
  <si>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</si>
  <si>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</si>
  <si>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</si>
  <si>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</si>
  <si>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</si>
  <si>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</si>
  <si>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</si>
  <si>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</si>
  <si>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</si>
  <si>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</si>
  <si>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</si>
  <si>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</si>
  <si>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</si>
  <si>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</si>
  <si>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</si>
  <si>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</si>
  <si>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</si>
  <si>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</si>
  <si>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</si>
  <si>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</si>
  <si>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</si>
  <si>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</si>
  <si>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</si>
  <si>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</si>
  <si>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</si>
  <si>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</si>
  <si>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</si>
  <si>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</si>
  <si>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</si>
  <si>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</si>
  <si>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</si>
  <si>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</si>
  <si>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</si>
  <si>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</si>
  <si>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</si>
  <si>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</si>
  <si>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</si>
  <si>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</si>
  <si>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</si>
  <si>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</si>
  <si>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</si>
  <si>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</si>
  <si>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</si>
  <si>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</si>
  <si>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</si>
  <si>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</si>
  <si>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</si>
  <si>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</si>
  <si>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</si>
  <si>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</si>
  <si>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</si>
  <si>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</si>
  <si>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</si>
  <si>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</si>
  <si>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</si>
  <si>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</si>
  <si>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</si>
  <si>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</si>
  <si>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</si>
  <si>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</si>
  <si>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</si>
  <si>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</si>
  <si>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</si>
  <si>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</si>
  <si>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</si>
  <si>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</si>
  <si>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</si>
  <si>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</si>
  <si>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</si>
  <si>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</si>
  <si>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</si>
  <si>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</si>
  <si>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</si>
  <si>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</si>
  <si>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</si>
  <si>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</si>
  <si>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</si>
  <si>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</si>
  <si>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</si>
  <si>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</si>
  <si>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</si>
  <si>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</si>
  <si>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</si>
  <si>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</si>
  <si>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</si>
  <si>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</si>
  <si>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</si>
  <si>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</si>
  <si>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</si>
  <si>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</si>
  <si>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</si>
  <si>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</si>
  <si>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</si>
  <si>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</si>
  <si>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</si>
  <si>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</si>
  <si>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</si>
  <si>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</si>
  <si>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</si>
  <si>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</si>
  <si>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</si>
  <si>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</si>
  <si>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</si>
  <si>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</si>
  <si>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</si>
  <si>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</si>
  <si>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</si>
  <si>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</si>
  <si>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</si>
  <si>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</si>
  <si>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</si>
  <si>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</si>
  <si>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</si>
  <si>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</si>
  <si>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</si>
  <si>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</si>
  <si>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</si>
  <si>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</si>
  <si>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</si>
  <si>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</si>
  <si>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</si>
  <si>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</si>
  <si>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</si>
  <si>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</si>
  <si>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</si>
  <si>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</si>
  <si>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</si>
  <si>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</si>
  <si>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</si>
  <si>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</si>
  <si>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</si>
  <si>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</si>
  <si>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</si>
  <si>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</si>
  <si>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</si>
  <si>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</si>
  <si>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</si>
  <si>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</si>
  <si>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</si>
  <si>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</si>
  <si>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</si>
  <si>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</si>
  <si>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</si>
  <si>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</si>
  <si>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</si>
  <si>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</si>
  <si>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</si>
  <si>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</si>
  <si>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</si>
  <si>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</si>
  <si>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</si>
  <si>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</si>
  <si>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</si>
  <si>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</si>
  <si>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</si>
  <si>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</si>
  <si>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</si>
  <si>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</si>
  <si>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</si>
  <si>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</si>
  <si>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</si>
  <si>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</si>
  <si>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</si>
  <si>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</si>
  <si>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</si>
  <si>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</si>
  <si>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</si>
  <si>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</si>
  <si>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</si>
  <si>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</si>
  <si>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</si>
  <si>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</si>
  <si>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</si>
  <si>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</si>
  <si>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</si>
  <si>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</si>
  <si>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</si>
  <si>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</si>
  <si>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</si>
  <si>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</si>
  <si>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</si>
  <si>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</si>
  <si>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</si>
  <si>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</si>
  <si>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</si>
  <si>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</si>
  <si>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</si>
  <si>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</si>
  <si>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</si>
  <si>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</si>
  <si>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</si>
  <si>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</si>
  <si>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</si>
  <si>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</si>
  <si>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</si>
  <si>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</si>
  <si>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</si>
  <si>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</si>
  <si>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</si>
  <si>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</si>
  <si>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</si>
  <si>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</si>
  <si>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</si>
  <si>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</si>
  <si>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</si>
  <si>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</si>
  <si>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</si>
  <si>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</si>
  <si>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</si>
  <si>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</si>
  <si>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</si>
  <si>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</si>
  <si>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</si>
  <si>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</si>
  <si>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</si>
  <si>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</si>
  <si>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</si>
  <si>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</si>
  <si>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</si>
  <si>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</si>
  <si>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</si>
  <si>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</si>
  <si>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</si>
  <si>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</si>
  <si>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</si>
  <si>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</si>
  <si>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</si>
  <si>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</si>
  <si>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</si>
  <si>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</si>
  <si>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</si>
  <si>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</si>
  <si>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</si>
  <si>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</si>
  <si>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</si>
  <si>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</si>
  <si>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</si>
  <si>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</si>
  <si>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</si>
  <si>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</si>
  <si>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</si>
  <si>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</si>
  <si>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</si>
  <si>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</si>
  <si>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</si>
  <si>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</si>
  <si>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</si>
  <si>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</si>
  <si>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</si>
  <si>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</si>
  <si>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</si>
  <si>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</si>
  <si>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</si>
  <si>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</si>
  <si>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</si>
  <si>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</si>
  <si>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</si>
  <si>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</si>
  <si>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</si>
  <si>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</si>
  <si>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</si>
  <si>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</si>
  <si>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</si>
  <si>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</si>
  <si>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</si>
  <si>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</si>
  <si>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</si>
  <si>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</si>
  <si>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</si>
  <si>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</si>
  <si>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</si>
  <si>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</si>
  <si>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</si>
  <si>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</si>
  <si>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</si>
  <si>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</si>
  <si>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</si>
  <si>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</si>
  <si>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</si>
  <si>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</si>
  <si>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</si>
  <si>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</si>
  <si>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</si>
  <si>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</si>
  <si>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</si>
  <si>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</si>
  <si>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</si>
  <si>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</si>
  <si>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</si>
  <si>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</si>
  <si>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</si>
  <si>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</si>
  <si>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</si>
  <si>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</si>
  <si>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</si>
  <si>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</si>
  <si>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</si>
  <si>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</si>
  <si>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</si>
  <si>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</si>
  <si>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</si>
  <si>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</si>
  <si>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</si>
  <si>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</si>
  <si>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</si>
  <si>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</si>
  <si>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</si>
  <si>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</si>
  <si>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</si>
  <si>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</si>
  <si>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</si>
  <si>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</si>
  <si>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</si>
  <si>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</si>
  <si>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</si>
  <si>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</si>
  <si>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</si>
  <si>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</si>
  <si>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</si>
  <si>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</si>
  <si>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</si>
  <si>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</si>
  <si>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</si>
  <si>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</si>
  <si>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</si>
  <si>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</si>
  <si>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</si>
  <si>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</si>
  <si>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</si>
  <si>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</si>
  <si>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</si>
  <si>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</si>
  <si>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</si>
  <si>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</si>
  <si>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</si>
  <si>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</si>
  <si>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</si>
  <si>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</si>
  <si>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</si>
  <si>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</si>
  <si>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</si>
  <si>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</si>
  <si>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</si>
  <si>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</si>
  <si>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</si>
  <si>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</si>
  <si>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</si>
  <si>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</si>
  <si>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</si>
  <si>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</si>
  <si>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</si>
  <si>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</si>
  <si>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Programa</t>
  </si>
  <si>
    <t>Avances y Logros</t>
  </si>
  <si>
    <t>Beneficios</t>
  </si>
  <si>
    <t>Total Vigencia</t>
  </si>
  <si>
    <t>Retrasos y soluciones</t>
  </si>
  <si>
    <t>Fecha de seguimiento</t>
  </si>
  <si>
    <t>IDU</t>
  </si>
  <si>
    <t>UAERMV</t>
  </si>
  <si>
    <t>Transporte Público</t>
  </si>
  <si>
    <t xml:space="preserve">Infraestructura Vial </t>
  </si>
  <si>
    <t>Plan de Seguridad Vial</t>
  </si>
  <si>
    <t xml:space="preserve">Componente </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</si>
  <si>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</si>
  <si>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</si>
  <si>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</si>
  <si>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</si>
  <si>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</si>
  <si>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</si>
  <si>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</si>
  <si>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</si>
  <si>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</si>
  <si>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</si>
  <si>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</si>
  <si>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</si>
  <si>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</si>
  <si>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</si>
  <si>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</si>
  <si>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</si>
  <si>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</si>
  <si>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</si>
  <si>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</si>
  <si>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</si>
  <si>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</si>
  <si>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</si>
  <si>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</si>
  <si>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</si>
  <si>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</si>
  <si>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</si>
  <si>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</si>
  <si>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</si>
  <si>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</si>
  <si>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</si>
  <si>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</si>
  <si>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</si>
  <si>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</si>
  <si>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</si>
  <si>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PROCESO DE PLANEACIÓN DE TRANSPORTE E INFRAESTRUCTURA</t>
  </si>
  <si>
    <t>Código: PM01-PR05-F01</t>
  </si>
  <si>
    <t>Versión: 1.0</t>
  </si>
  <si>
    <t>SISTEMA INTEGRADO DE GESTIÓN BAJO EL ESTÁNDAR MIPG</t>
  </si>
  <si>
    <t>Pendiente</t>
  </si>
  <si>
    <t xml:space="preserve">Programado 2020
</t>
  </si>
  <si>
    <t>Ejecutado 2020</t>
  </si>
  <si>
    <t>Meta Plan de Desarrollo</t>
  </si>
  <si>
    <t>Nombre y Código del Indicador Meta PDD</t>
  </si>
  <si>
    <t>2020-2024</t>
  </si>
  <si>
    <t>374  aumentar en 20% la oferta de tansporte público del SITP</t>
  </si>
  <si>
    <t>Buses/sillas del SITP</t>
  </si>
  <si>
    <t>401_Buses/sillas del SITP</t>
  </si>
  <si>
    <t>402_ Puntos poncentuales la confiabilidad del servicio del SITP</t>
  </si>
  <si>
    <t>375 aumentar en 4 puntos porcentuales la confiabilidad del servicio del SITP en sus componentes troncal y zonal</t>
  </si>
  <si>
    <t>377 Conservar 190 km de cicloinfraestructura</t>
  </si>
  <si>
    <t>404 kilometros de cicloruta conservados</t>
  </si>
  <si>
    <t xml:space="preserve">405  Kilómetros de malla vial </t>
  </si>
  <si>
    <t>378  Realizar actividades de conservación a 2308 km carril de malla vial</t>
  </si>
  <si>
    <t>Kilómentros de malla vial</t>
  </si>
  <si>
    <t>414 Estrategia implementada para la calidad del Transporte público urbano regional</t>
  </si>
  <si>
    <t>387  Formular e implementar una estrategia integral para mejorar la calidad del transporte público urbano regional</t>
  </si>
  <si>
    <t>423  Patios diseñados y contratada su construcción</t>
  </si>
  <si>
    <t>396  Diseñar y contratar la construcción de 6 patios troncales y zonales del SITP</t>
  </si>
  <si>
    <t>420 Estaciones mejoradas</t>
  </si>
  <si>
    <t>393  Mejoramiento de 43 estaciones del sistema Transmilenio</t>
  </si>
  <si>
    <t>Estaciones Mejoradas</t>
  </si>
  <si>
    <t>424 Ejecución de obras en kilómetros de corredores de transporte masivo</t>
  </si>
  <si>
    <t>397 Ejecutar las obras para la adecuación de 29,6 km de corredores de transporte masivo</t>
  </si>
  <si>
    <t>Kilómetros de corredores de transporte masivo</t>
  </si>
  <si>
    <t>Estrategia implementada</t>
  </si>
  <si>
    <t>425 Ejecución de obras en kilómetros de corredor verde de la carrera séptima</t>
  </si>
  <si>
    <t>398 Ejecutar las obras para la adecuación de 20 km del corredor verde de la carrera séptima</t>
  </si>
  <si>
    <t>Kilómetros del corredor verde de la cra séptima</t>
  </si>
  <si>
    <t>408 Kilometros de malla vial construidos</t>
  </si>
  <si>
    <t>381 Construir 280 km de cicloinfraestructura</t>
  </si>
  <si>
    <t>Kilómetros de  cicloruta consevados</t>
  </si>
  <si>
    <t>Kilómetros de  cicloruta construidos</t>
  </si>
  <si>
    <t>373 _1.Reducir en 20% el número de víctimas fatales por siniestros viales para cada uno de los actores viales de la vía
2. Reducir el 20% el número de jóvenes (entre  14 y 28 años) fallecidos por siniestros viales</t>
  </si>
  <si>
    <t>403 Cables aéreos implementados y estructruados  (se mide solo estructurados)</t>
  </si>
  <si>
    <t>376 Avanzar en un 60% en la construcción del cable aéreo de San Cristóbal y el 100% de la estructuración de otros 2 cables</t>
  </si>
  <si>
    <t>Cables aéreos</t>
  </si>
  <si>
    <t>Puentes vehículares</t>
  </si>
  <si>
    <t>421 Diseños y construcción de la estación central del sistema Transmilenio</t>
  </si>
  <si>
    <t>400 Numero de personas y jóvenes fallecidos por siniestros viales (porcentaje de reducción de fallecimientos por siniestros viales)</t>
  </si>
  <si>
    <t>383   Definir e implementar dos estrategias de cultura ciudadana para el sistema de movilidad, con enfoque diferencial, de género y territorial.</t>
  </si>
  <si>
    <t>410  Estrategias de cultura ciudadana implementadas</t>
  </si>
  <si>
    <t>Número de estrategias  implementadas</t>
  </si>
  <si>
    <t>Puntos poncentuales la confiabilidad del servicio del SITP</t>
  </si>
  <si>
    <t>380  Construir 146 km de malla vial. En esta construcción se contrará con un 35% de mano de obra de la localidad donde se ejecute el proyecto</t>
  </si>
  <si>
    <t>407 Kilómetros de malla vial</t>
  </si>
  <si>
    <t>kilómetros de malla vial</t>
  </si>
  <si>
    <t xml:space="preserve">409 Puentes vehículare (construir puentes vehículares o interseccionales a desnivel) </t>
  </si>
  <si>
    <t>382   Construir o reforzar 29 puentes vehículares e intersecciones a desnivel</t>
  </si>
  <si>
    <t>411  Instrumento implementado para la medición y seguimiento de la experiencia del usuario y del prestador del servicio de taxis</t>
  </si>
  <si>
    <t>384 Definir e implementar un instrumento para la medición y seguimiento de la experiencia del usuario y del prestador del servicio en el transporte público individual</t>
  </si>
  <si>
    <t>Instrumento de medición</t>
  </si>
  <si>
    <t>385  Diseñar, gestionar e implementar una estrategia para aumentar la ocupación promedio del vehículo</t>
  </si>
  <si>
    <t>412  Estrategia de aumento de ocupación de vehículos privados</t>
  </si>
  <si>
    <t>Estrategia de ocupación de vehículos privados implementada</t>
  </si>
  <si>
    <t>386 Disminuir en un 10% el tiempo promedio en minutos, de acceso al Transporte Público</t>
  </si>
  <si>
    <t>413 Tiempo promedio en minutos de acceso al Transporte Público (tiempo de caminata y tiempo de espera) para SITP provisional, Zonal y Troncal en la primera etapa para los hogares ubicados en Bogotá</t>
  </si>
  <si>
    <t>Tiempo promedio en minutos de acceso al Transporte público</t>
  </si>
  <si>
    <t>388 Implementar 5000 cupos de cicloparqueaderos</t>
  </si>
  <si>
    <t>415  Número de cupos de cicloparqueaderos</t>
  </si>
  <si>
    <t>Número de cupos de cicloparqueaderos</t>
  </si>
  <si>
    <t>389  Implementar y operar el Centro de Orientación de Víctimas por Siniestros Viales</t>
  </si>
  <si>
    <t>416  Centro de Orientación de víctimas por siniestros  viales implementados</t>
  </si>
  <si>
    <t>Porcentaje de reduccción de víctimas fatales por siniestros viales</t>
  </si>
  <si>
    <t>Centro de Orientación de Víctimas implementado</t>
  </si>
  <si>
    <t>390  Mantener el tiempo promedio de viaje en los 14 corredores principales de la ciudad para todos los usuarios de la vía</t>
  </si>
  <si>
    <t>417  Tiempo promedio de viaje en los 14 corredores principales de la ciudad</t>
  </si>
  <si>
    <t>Tiempo promedio de viaje</t>
  </si>
  <si>
    <t>392 Conservar 360km- carril de malla vial local</t>
  </si>
  <si>
    <t>419 kilómetros carril de malla vial troncal conservados</t>
  </si>
  <si>
    <t>Kilómetros carril de malla vial troncal conservados</t>
  </si>
  <si>
    <t>395 Mantenimiento del 100% de las estaciones del Sistema Transmilenio</t>
  </si>
  <si>
    <t>422 Estaciones mantenidas</t>
  </si>
  <si>
    <t>Estaciones Mantenidas</t>
  </si>
  <si>
    <t>399 Reducir en 2 puntos porcentuales la evasión en el SITP</t>
  </si>
  <si>
    <t>426 Reducir en 2 puntos porcentuales la evasi´pn en el componente troncal y zonal del SITP</t>
  </si>
  <si>
    <t>Reducción en 2 puntos  porcentuales la evasión en el SITP</t>
  </si>
  <si>
    <t xml:space="preserve">TMSA
</t>
  </si>
  <si>
    <t>METRO</t>
  </si>
  <si>
    <t>394  Diseñar y contratar la costrucción de la estación central de transmilenio</t>
  </si>
  <si>
    <t>Diseño y construcción de la estación central de TMSA</t>
  </si>
  <si>
    <t xml:space="preserve">PLAN DE DESARROLLO:    UN NUEVO CONTRATO SOCIAL Y AMBIENTAL PARA LA BOGOTÁ DEL SIGLO XXI
PROGRAMA 49. MOVILIDAD SEGURA , SOSTENIBLE Y ACCESIBLE
</t>
  </si>
  <si>
    <t>Propósito</t>
  </si>
  <si>
    <t>49_  Movilidad segura, sostenible y accesible</t>
  </si>
  <si>
    <t xml:space="preserve">Transporte no motorizado </t>
  </si>
  <si>
    <t>Logística de Movilidad</t>
  </si>
  <si>
    <t>1_Subsidios y transferencias para la equidad</t>
  </si>
  <si>
    <t>1_Fuentes de  fondeo para el sector Movilidad</t>
  </si>
  <si>
    <t>1   Diseñar e implementar 4 fuentes de Fondeo para el SITP y el Sector Movilidad</t>
  </si>
  <si>
    <t>Fuentes de fondeo implementadas</t>
  </si>
  <si>
    <t>281_Viajes en bicicleta (porcentaje de viajes en bicicleta aumentado)</t>
  </si>
  <si>
    <t>35_Manejo y prevención de contaminación</t>
  </si>
  <si>
    <t>Viajes en bicicleta aumentados</t>
  </si>
  <si>
    <t>282_Vehículos de cero y bajas emisiones en el parque automotor de Bogotá, y puntos públicos de carga rápida</t>
  </si>
  <si>
    <t>264_Aumentar en 50% los viajes en bicicleta a través de la implementación de la política pública</t>
  </si>
  <si>
    <t>Vehículos de cero y bajas emisiones aumentados</t>
  </si>
  <si>
    <t>284_Porcentaje de implementación de la estrategia de fomento de la micromovilidad (esquema de transporte alternativo impulsado)</t>
  </si>
  <si>
    <t>267_Impulsar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</si>
  <si>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Esquema de transporte alternativo impulsado</t>
  </si>
  <si>
    <t>288_Porcentaje de reducción en la concentración de material particulado PM 10 y de PM2,5</t>
  </si>
  <si>
    <t>271_Reducir en el 10% como promedio ponderado ciudad, la concentración de material particulado PM10 y
PM2.5, mediante la implementación del Plan de Gestión Integral de Calidad de Aire (aporte de movilidad a
meta del sector ambiente)</t>
  </si>
  <si>
    <t>283_Porcentaje de avance en la implementación de un sistema de bicicletas públicas (sistema de bicicletas públicas implementado)</t>
  </si>
  <si>
    <t>Logistica de Movilidad</t>
  </si>
  <si>
    <t xml:space="preserve">49_Movilidad </t>
  </si>
  <si>
    <t>379_Consolidar y reforzar el programa de movilidad Niños y Niñas Primero con el fin de aumentar el número de
beneficiados y facilitar el acceso a la educación de niñas, niños y adolescentes</t>
  </si>
  <si>
    <t>Programa de movilidad de niños y niñas consolidado y reforzado</t>
  </si>
  <si>
    <t>406_Niños y niñas beneficiados con el programa</t>
  </si>
  <si>
    <t xml:space="preserve">IDU
</t>
  </si>
  <si>
    <t xml:space="preserve">
TMSA</t>
  </si>
  <si>
    <t>Actividades a cargo de TMSA adelantadas para ejecutar las obras para la adecuación de 29.6 km de corredores de transporte masivo
Actividades a cargo de TMSA adelantadas para ejecutar las obras para la adecuación de 20 Km del corredor verde de la carrera séptima</t>
  </si>
  <si>
    <t>Actividades a cargo de TMSA adelantadas para ejecutar las obras para la adecuación de 29.6 km de corredores de transporte masivo</t>
  </si>
  <si>
    <t xml:space="preserve">Patios diseñados </t>
  </si>
  <si>
    <t xml:space="preserve"> IDU</t>
  </si>
  <si>
    <t>Actividades a cargo de TMSA adelantadas para Diseñar y contratar la construcción de 6 patios troncales y zonales del SITP</t>
  </si>
  <si>
    <t>Actividades a cargo de TMSA adelantadas para el mejoramiento de 43 estaciones del sistema TransMilenio</t>
  </si>
  <si>
    <t>Actividades a cargo de TMSA adelantadas para diseñar y contratar la construcción de la estación central del Sistema TransMilenio</t>
  </si>
  <si>
    <t>Programas</t>
  </si>
  <si>
    <t>Propósitos</t>
  </si>
  <si>
    <t>1: Hacer un nuevo contrato social con igualdad de oportunidades para la inclusión social, productiva y política/  2: Cambiar nuestros hábitos de vida para reverdecer a Bogotá y adaptarnos y mitigar la crisis climática/ 4: Hacer de Bogotá Región un modelo de movilidad multimodal, incluyente y sostenible</t>
  </si>
  <si>
    <t>4_Hacer de Bogotá Región un modelo de movilidad multimodal, incluyente y sostenible</t>
  </si>
  <si>
    <t>1_Hacer un nuevo contrato social con igualdad de oportunidades para la inclusión social, productiva y política</t>
  </si>
  <si>
    <t>2_Cambiar nuestros hábitos de vida para reverdecer a Bogotá y adaptarnos y mitigar la crisis climática</t>
  </si>
  <si>
    <t>400_Alcanzar el 100% del proceso de contratación para la expansión de la PLMB-Fase 2</t>
  </si>
  <si>
    <t>50_Red de metros</t>
  </si>
  <si>
    <t>Proceso de contratación para la expansión de la PLMB-Fase 2 culminado</t>
  </si>
  <si>
    <t>Avance en el ciclo del proyecto PLMB-Tramo 1</t>
  </si>
  <si>
    <t>427_Proceso de contratación para la expansión de la PLMB - Fase 2 culminado</t>
  </si>
  <si>
    <t>428_Avance en el ciclo del proyecto PLMB - Tramo 1</t>
  </si>
  <si>
    <t>1: Subsidios y Transferencias para la equidad/  35: Manejo y prevención de la Contaminación/ 49:  Movilidad segura, sostenible y accesible/ 50: Red de Metros</t>
  </si>
  <si>
    <t>Transporte público</t>
  </si>
  <si>
    <t>Componentre ambiental</t>
  </si>
  <si>
    <t>Componente ambiental</t>
  </si>
  <si>
    <t>SDM- SDA (Entidad que reporta el avance)</t>
  </si>
  <si>
    <t>627_Acciones de seguimiento a la implementación del SITP</t>
  </si>
  <si>
    <t>Acciones de seguimiento a la implementación del SITP</t>
  </si>
  <si>
    <t>628_Acciones de seguimiento a los proyectos de infraestructura vial y equipamientos de transporte del sistema de movilidad</t>
  </si>
  <si>
    <t>Acciones de seguimiento a los proyectos de infraestructura vial y equipamientos de transporte del sistema de movilidad</t>
  </si>
  <si>
    <t>637_Construir el 60% de 1 cable aéreo</t>
  </si>
  <si>
    <t>Construir el 60% de 1 cable aéreo</t>
  </si>
  <si>
    <t>Reforzar puentes vehiculares</t>
  </si>
  <si>
    <t>639_Reforzar puentes vehiculares</t>
  </si>
  <si>
    <t>630_Actividades a cargo de TMSA adelantadas para Diseñar y contratar la construcción de 6 patios troncales y zonales del SITP</t>
  </si>
  <si>
    <t>640_Patios troncales y zonales del SITP con su construcción</t>
  </si>
  <si>
    <t>Patios troncales y zonales del SITP con su construcción</t>
  </si>
  <si>
    <t>SUma</t>
  </si>
  <si>
    <t>631_Actividades a cargo de TMSA adelantadas para ejecutar las obras para la adecuación de 29.6 km de corredores de transporte masivo</t>
  </si>
  <si>
    <t>632_Actividades a cargo de TMSA adelantadas para ejecutar las obras para la adecuación de 20 Km del corredor verde de la carrera séptima</t>
  </si>
  <si>
    <t>Diciembre 30 de 2020</t>
  </si>
  <si>
    <t>Con la implementación de la flota troncal correspondiente a la renovación de la flota troncal se brinda una capacidad adicional de 40% y las unidades funcionales 2 y 3 se brinda mayor accesibilidad a cerca de 157,000 usarios al servicio de transporte.</t>
  </si>
  <si>
    <t>629 Porcentaje de avance anual en las actividades a cargo de TMSA para el mejoramiento de 43 estaciones del
sistema Transmilenio</t>
  </si>
  <si>
    <t>633 Porcentaje de avance anual en las actividades a cargo de TMSA para diseñar y contratar la construcción
de la estación central del Sistema Transmilenio</t>
  </si>
  <si>
    <t>651_Porcentaje de gasto en transporte público de hogares estrato 2</t>
  </si>
  <si>
    <t>Reducción del gasto en transporte público estrato1</t>
  </si>
  <si>
    <t>Reducción del gasto en transporte público estrato2</t>
  </si>
  <si>
    <t>401_Alcanzar el 60 % del ciclo de vida del proyecto PLMB - Tramo 1
LB 19,44</t>
  </si>
  <si>
    <t>265_Generar las condiciones para aumentar a 6.500 los vehículos de cero y bajas emisiones en el parque
automotor de Bogotá, incluyendo la implementación de 20 puntos públicos de carga rápida
LB 2.112</t>
  </si>
  <si>
    <t xml:space="preserve">
AVANCE MENSUAL (Magnitud)</t>
  </si>
  <si>
    <t xml:space="preserve">
PRESUPUESTO (Millones de pesos)</t>
  </si>
  <si>
    <t xml:space="preserve">
PLAN MAESTRO DE MOVILIDAD</t>
  </si>
  <si>
    <t xml:space="preserve">Programado 2021
</t>
  </si>
  <si>
    <t>Ejecutado 2021</t>
  </si>
  <si>
    <t>No presenta retrasos</t>
  </si>
  <si>
    <t>Esta meta no presenta retrasos en su ejecución</t>
  </si>
  <si>
    <t>La meta no presenta retrasos</t>
  </si>
  <si>
    <t xml:space="preserve">No presenta retrasos
</t>
  </si>
  <si>
    <t>El IDU desde el incio de las troncales ha tenido un programa recurrente de construcción y mantenimiento de troncales con el cual pretende que el sistema se mantenga y/0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*Servicios cortos para atender la carga crítica de aquellos servicios más largos que consumen una gran cantidad de flota, en algunos casos estos son servicios de apoyo que no son visibles para el usuario.
*Servicios súper expresos que han permitido librar capacidad de las estaciones, llevando a los usuarios desde los principales orígenes a los principales destinos.
*Dada la flexibilidad del Sistema, se han creado algunas conexiones operacionales que permiten atender nuevos pares origen-destino que con el tiempo se han hecho más importantes.
*Posibilidad de circulación en tráfico mixto en condiciones de contingencia o en condiciones normales de operación como es el caso de las conexiones operacionales de la Avenida Ciudad de Villavicencio y la conexión entre las troncales Américas y
NQS
*Incorporación de flota biarticulada (buses de 250 pasajeros) para ampliar la capacidad en los corredores de mayor demanda</t>
  </si>
  <si>
    <t>No se han presentado obstáculos o retrasos a la fecha. Se avanza en los cronogramas de trabajo en el tiempo estipulado</t>
  </si>
  <si>
    <t>SDM - Indicador : Tiempo promedio de viaje en los 14 corredores principales de la ciudad
No se reportan retrasos.</t>
  </si>
  <si>
    <t>IDU - No presenta retras
TMSA - No presenta retraso</t>
  </si>
  <si>
    <t>TMSA - sin retrasos
SDM - sin retrasos</t>
  </si>
  <si>
    <t>Sin retrasos</t>
  </si>
  <si>
    <t>Teniendo en cuenta la periodicidad de la meta, a la fecha no se presentar retrasos.</t>
  </si>
  <si>
    <t>Teniendo en cuenta la periodicidad de la meta, a la fecha no se presentar retrasos</t>
  </si>
  <si>
    <t>No se han presentado obstáculos o retrasos a la fecha.</t>
  </si>
  <si>
    <t>Número de puntos públicos de carga rápida implementados</t>
  </si>
  <si>
    <t>No reporta retraso</t>
  </si>
  <si>
    <t>Porcentaje de avance en la implementación de un sistema de bicicletas públicas</t>
  </si>
  <si>
    <t>6_Reducir el gasto en transporte público de los hogares de mayor vulnerabilidad económica, con enfoque poblacional, diferencial y de género, para que represente el 15% de sus ingresos</t>
  </si>
  <si>
    <t>6_ Porcentaje de gasto en transporte público de hogares estrato 1</t>
  </si>
  <si>
    <t>642_Número de puntos públicos de carga rápida implementados</t>
  </si>
  <si>
    <t>Durante lo corrido del Plan Distrital de Desarrollo, en cumplimiento de la meta se han adelantado los siguientes:
- Se inició la gestión para el Contrato de consultoría para la estructuración técnica, legal y financiera del Sistema de Bicicletas Compartidas de Bogotá con CFF/C40 (Cities Finance Facility).
- Se inició la construcción de la exposición de motivos y propuesta de articulado para un Proyecto de Acuerdo que busca: 1. Crear el Sistemas de Micromovilidad, 2. Permitir la Publicidad Exterior Visual en dicho sistema, y 3. Regular el servicio del sistema (dicho proyecto de acuerdo se presentó ante el
Concejo el 21 de marzo).
- Se construyó el protocolo de la actividad "Alquiler de vehículos de micromovilidad", en la "Comisión Intersectorial del Espacio Público" en Diciembre de 2020, que conllevo a la emisión de la resolución 030 de 2021 del DADEP.</t>
  </si>
  <si>
    <t>No se han presentado obstáculos o retrasos a la fecha</t>
  </si>
  <si>
    <t>Durante lo corrido del Plan Distrital de Desarrollo, en cumplimiento de la meta se reportan los siguientes avances:
- Se inició la construcción de la exposición de motivos y propuesta de articulado para un Proyecto de Acuerdo que busca: 1. Crear el Sistemas de Micromovilidad, 2. Permitir la Publicidad Exterior Visual en dicho sistema, y 3. Regular el servicio del sistema. (Dicho proyecto de acuerdo se presentó ante el
Concejo Distrital en marzo de 2021).
- Se presentó el Proyecto de Acuerdo que busca: 1. Crear el Sistemas de Micromovilidad, 2. Permitir la Publicidad Exterior Visual en dicho sistema, y 3. Regular el servicio del sistema, ante el concejo distrital. La alcaldesa firmó el acta el 12 de marzo de 2021.
- Prolongación de los permisos gratuitos de micromovilidad otorgados en 2020, hasta junio de 2021
- Se elaboró el borrador de la resolución que permite la Publicidad Exterior Visual en el sistema de la mano con Secretaria de Ambiente, dependiendo de la decisión del concejo distrital frente a este tema se podrá emitir o no esta resolución
- Proceso de acuerdo para el recibo de los cicloparquederos resultantes de la retribución en especie del sistema, en coordinación con el DADEP e IDRD (dichas entidades aceptaron recibir este mobiliario).
- Construcción de un documento técnico de soporte para la ubicación e instalación de cicloparqueaderos, los cuales serán la retribución en especie del Sistema de Micromovilidad
- Estructuración de las condiciones para expedir permisos temporales de micromovilidad en el marco de la Emergencia Sanitaria declarada por el Gobierno Nacional
Aprobación del Acuerdo 811 de 2021 que: 1. Permite la Publicidad Exterior Visual en vehículos de micromovilidad y 2. Permite a la Administración Distrital regular la provisión del servicio ante el Concejo Distrital.
Construcción de un Documento Técnico Soporte para "EL ALQUILER DE VEHÍCULOS DE MICROMOVILIDAD EN BOGOTÁ D.C. BAJO EL ESQUEMA DE PERMISOS DE APROVECHAMIENTO ECONÓMICO DEL ESPACIO PÚBLICO", el cuál está en revisión para firmas
Publicación de la Circular 11 de 2021 "Lineamientos para la expedición de permisos temporales de alquiler de vehículos de micromovilidad de acuerdo a lo dispuesto en el Decreto Distrital 073 de 2021, en el marco de la situación excepcional de emergencia sanitaria por el COVID-19."</t>
  </si>
  <si>
    <t>En razón de la situación generada por el virus, el aislamiento de las personas ha limitado el uso de estos servicios, cosa que ha llevado a que las empresas no hayan operado como lo venía haciendo antes de marzo 2020. No obstante, lo anterior no han tenido un impacto directo en el desarrollo de la
estrategia.</t>
  </si>
  <si>
    <t>se establecen los lineamientos y metas para la adquisición de flota oficial eléctrica.
Así mismo se ha incentivado la implementación de los 20 puntos de recarga y se está creando el marco legal.
La fase de agenda pública tuvo concepto favorable por parte de la SDP, por tanto se da incio a la fase de formulación; está fase contendrá acciones para cada modo de transporte y acciones transversales que serán construidas a través de una estrategia de participación similar a la fase de diagnóstico.
Parte de las estrategias a avanzar son las estrategias de reposición de taxis eléctricos, estrategia de despliegue de infraestructura, estrategia de ascenso de flota oficial y estrategia de ascenso de flota escolar.</t>
  </si>
  <si>
    <t>condiciones de seguridad vial de los ciclistas, el desarrollo de acciones en vía para promover la seguridad vial y reducir la siniestralidad de ciclistas; la mejora en la cicloinfraestructura apuntando a que los ciclistas tengan más y mejores viajes; y por último, la promoción de una cultura de la bici por medio de
acciones en vía que promueven la ley 1811 de 2016 y buscan lograr cambios en las conductas de los actores viales. A continuacion se describe detallamente las actividades y avances realizadas para el cumplimiento de los objetivos especificos.
Los avances y logros se establecen bajo los objetivos de la política pública de la bicicleta que desarrollaron de la siguiente manera:
1. Más seguridad personal-Registro Bici Bogotá:
- 21402 bicicletas registradas en el primer semestre del 2021
- 26501 usuarios registrados entre enero y junio de 2021
-328 jornadas de registro bici en vía
- 2887 ciudadano atendidos en los puntos de registro bici permanentes.
- Se hizo entrega de 200 candados de seguridad a mujeres ciclistas, con el fin de disminuir el riesgo a hurto por oportunidad (hurto a bicicletas parqueadas o abandonadas) mientras realizan sus viajes a trabajo, estudio o viajes asociados al cuidado.
2. ¿Mayor seguridad vial¿_Durante el desarrollo de las acciones en vía se tuvo el siguiente registro de actividades y beneficiarios en el primer semestre del año (ene ¿ jun 2021)
Número de acciones: 107
Personas Atendidas: 10058 (Dentro de personas atendidas se encuentran las personas formadas y las personas informadas)
3. "Más y mejores viajes en bicicleta¿
- Se avanzó en la realización de documentos de factibilidad para 12,3 km de ciclorrutas en diferentes tramos de la ciudad.
- Para el primer semestre de 2021 se registran 5,7 km de ciclorrutas implementadas en calzada.
- Se ha recorrido y capturado información en 306.18 km de ciclorrutas y bicicarriles, lo cual contempla aproximadamente el 52% de la malla de ciclorrutas de la ciudad.
- Se mantuvieron 36,3 km de corredores de circulación ciclista segregados con elementos temporales tipo barreras plásticas (maletines) implementados en el marco de la pandemia por COVID-19.
- Se realizó el levantamiento de inventario de cicloparqueaderos en Parques, Plazas y plazoletas de la ciudad, dando como resultado un total de 179 Parques con Cicloparqueaderos para un total d</t>
  </si>
  <si>
    <t>Aunque la meta a la fecha no registra retrasos en su cumplimiento, se mencionan a continuación algunas situaciones :
- Los decreto de Registro bici y Rutas Seguras han sufrido retrasos por que es firmado por 4 secretarias y requiere de articulación y armonización con todas las oficinas juridicas incluido la Alcaldía mayor,sin embargo todos estos procesos se han surtido a a satisfacción y el proyecto de decreto se
encuentra en el despacho de la Alcadesa para su firma.
- El pasado 28 de abril, se evidenció que los elementos de segregación temporal (maletines), fueron quemados o vandalizados, con lo cual se convirtieron en un elemento usado en contra de su función primaria y que los podía constituir en un elemento de riesgo (en este enlace se presenta el comunicado
emitido por la SDM https://www.movilidadbogota.gov.co/web/noticia/
-Las diversas alteraciones de orden público que se presentarón entre los meses de abril y mayo, provocaron cancelación de visitas técnicas .</t>
  </si>
  <si>
    <t>6 - En lo corrido del plan de Desarrollo se realizaron los estudios, modelaciones, monitoreo y análisis de movilidad han contribuido a la toma de decisiones en materia de Movilidad y analizar el impacto de los diferentes proyectos en la ciudad.
Así mismo permiten establecer que los sistemas de micromovilidad de uso compartido y su interoperabilidad con el SITP, podrán disminuir el gasto en transporte público de la población vulnerable.
Se está adelantando la construcción de un indicador para la medición del avance en la meta 6, que no esté ligado a la encuesta de movilidad y que permita su seguimiento continuo durante la vigencia de la actual alcaldía.
Con el fin de buscar recursos para la implementación del esquema de interoperabilidad en Bogotá, se elaboró una propuesta para K-City Network, con la cual se espera que con único medio de pago y una única tarifa para los diferentes modos de transporte, los hogares económicamente vulnerables gasten
menos en transporte.
Adicionalmente, se apoyó en elaboración de estudio previos para el contrato de concurso de méritos que tendrá como objeto la estructuración técnica, legal y financiera para lograr la interoperabilidad del SITP con los nuevos modos de transporte que harán parte del sistema en el corto, mediano y largo
plazo.
Se realizó el Postprocesamiento de resultados del modelo macro de transporte sobre la implementación de RegioTram de Occidente para la determinación del número de transferencias realizadas por los usuarios teniendo en cuenta diversos esquemas de tarifa para la integración del sistema.
Apoyó en el procesamiento análisis de la información derivada del contrato de Monitoreo, relacionado con tiempos de desplazamiento, en diferentes zonas de la ciudad, lo cual permitirá priorizar la implementación de nuevos modos de transporte en corredores donde se observen los mayores tiempos de
desplazamiento.
Las actividades desarrolladas, contribuirán a que los hogares vulnerables económicamente mejoren sus ingresos y su calidad de vida, al tener acceso y disfrute igualitario y con calidad al sistema de movilidad de Bogotá, y por ende a las oportunidades laborales, educativas y culturales que ofrece la ciudad.
651 - En lo corrido del plan de Desarrollo se realizaron los estudios, modelaciones, monitoreo y análisis de movilidad han contribuido a la toma de decisiones en materia de Movilidad y analizar el impacto de los diferentes proyectos en la ciudad.
Así mismo permiten establecer que los sistemas de micromovilidad de uso compartido y su interoperabilidad con el SITP, podrán disminuir el gasto en transporte público de la población vulnerable.
Se está adelantando la construcción de un indicador para la medición del avance en la meta 6, que no esté ligado a la encuesta de movilidad y que permita su seguimiento continuo durante la vigencia de la actual alcaldía.
Con el fin de buscar recursos para la implementación del esquema de interoperabilidad en Bogotá, se elaboró una propuesta para K-City Network, con la cual se espera que con único medio de pago y una única tarifa para los diferentes modos de transporte, los hogares económicamente vulnerables gasten
menos en transporte.
Adicionalmente, se apoyó en elaboración de estudio previos para el contrato de concurso de méritos que tendrá como objeto la estructuración técnica, legal y financiera para lograr la interoperabilidad del SITP con los nuevos modos de transporte que harán parte del sistema en el corto, mediano y largo
plazo.
Se realizó el Postprocesamiento de resultados del modelo macro de transporte sobre la implementación de RegioTram de Occidente para la determinación del número de transferencias realizadas por los usuarios teniendo en cuenta diversos esquemas de tarifa para la integración del sistema.</t>
  </si>
  <si>
    <t>En lo corrido del plan de Desarrollo se realizó el proceso de revisión y análisis de otras ciudades que ya cuentan con tarifas diferenciales implementadas en los sistemas de transporte, sus experiencias, criterios y variables que se deberán considerar para la elaboración del modelo económico, que permita
la aplicación de tarifas garantizando sostenibilidad del sistema de transporte.
La SDM y la Terminal de Transporte SA, suscribieron el convenio interadministrativo Nº 2021-313 el cual permitirá el recaudo de recursos mediante el derecho de estacionamiento sobre las vías públicas; los excedentes generados por la operación del parqueo en vía, constituye una de las nuevas fuentes
de financiación para el SITP.
Así mismo la fase 1 del pago voluntario por acceso a zonas de restricción vehicular está generando recursos para el SITP.
Contrato para la fase 2 del pago voluntario por acceso a zonas de restricción vehicular está en etapa precontractual.
Se expidió la Resolución 81 de 2021 por medio del cual se definen las tarifas por concepto de derechos de tránsito en el Distrito Capital. Los recursos recaudados por estos nuevos trámites deberán ser destinados a la financiación del Propósito 4: "Hacer de Bogotá-región un modelo de movilidad,
creatividad y productividad incluyente y sostenible", especialmente al Programa Estratégico Sistema de Movilidad Sostenible.</t>
  </si>
  <si>
    <t>Para la etapa de prefactibilidad, en el marco del Convenio 068 de 2020 con la FDN, en el mes de mayo se realizó la sesión 18 del Comité Técnico, donde se aprobaron los siguientes productos: - Producto 3: Análisis de nodo de terminación y definición del proyecto con base en restricción presupuestal. -
Producto 4: Estudios y diseños de prefactibilidad. - Producto 5: Identificación de problematicas ambientales y sociales. - Producto 6: Propuesta de integración de sistemas e infraestructura metro ferroviaria. - Producto 7: CAPEX, OPEX, cronograma y analisis beneficio costo del proyecto. Por último, en el
mes de mayo culminó la etapa de prefactibilidad con la finalización del convenio No. 068 de 2020, el cual se encuentra en liquidación. En el mes de abril se suscribió el contrato interadministrativo No. 136 de 2021 con la FDN para realizar la factibilidad y estructuración integral de la Línea 2. En este contrato
se establecen unos hitos necesarios para la adjudicación del proyecto Línea 2 como son: Hito # 1: Contratación asesores y presentación de cronograma detallado de trabajo, Hito # 2: Entregar a EMB de forma integral los documentos requeridos para presentar ante el gobierno Nacional y obtener el aval
técnico y el aval fiscal del Proyecto para acceder a la cofinanciación por parte de la Nación, en el marco de la Ley 1955 de 2019 y la Resolución 20203040013685 del Ministerio de Transporte entre el mes 9 y 12, posteriores a la firma del acta de inicio, Hito # 3: Presentar los productos finales asociados a
todas las especificaciones técnicas contenidas en el apéndice 1 del presente documento, Hito # 4: Presentar la información y el sustento necesario para elaborar el CONPES que declare la importancia estratégica del proyecto, Hito # 5: Entregar la propuesta de convenio de cofinanciación del proyecto, Hito
#6: Entregar todos los documentos requeridos para abrir el proceso de precalificación para el o los contratos principales para la ejecución del proyecto, Hito # 7: Entregar todos los documentos requeridos para abrir la o las licitaciones o los contratos principales para la ejecución del proyecto y Hito # 8:
Adjudicar el o los contratos principales para la ejecución del proyecto. Estos hitos se desarrollarán entre el 2021 y 2024. Actualmente, se encuentra en ejecución la Fase 1 Contratación consultores para estructuración técnica, legal, financiera y riesgos.</t>
  </si>
  <si>
    <t>Demoras en la ejecución de la fase 1, no se ha logrado aprobar el plan de trabajo del Contrato Interadministrativo con la FDN y se han aprobado desplazamientos en la fecha programada para el hito 1 en 13 días hábiles.</t>
  </si>
  <si>
    <t>Avance y Logros: Se cuenta con el Plan de Ejecución del Concesionario de la PLMB T-1 No objetado, a partir de ello con corte a 30-jun-21 no hay Unidades de Ejecución (EU) programadas para realizar pagos. Desde la gestión predial se hizo entrega al concesionario de la PLMB T-1 de un el predio
Identificado con CHIP AAA0150HKUH, tras ser recibido por parte de la EMB, mediante acta de permiso de intervención voluntaria sector el Corzo. Toda vez que dicho predio fue entregado por el juzgado 5 civil del circuito de Bogotá a la EAAB mediante diligencia de entrega dentro del proceso de
expropiación judicial N° 110014003013202100263 el día 28 de mayo de 2020. Se recibieron los informes de interventoría del contrato de concesión de la PLMB T-1 de marzo, abril y mayo de 2021. El informe de marzo se encuentra aprobado, los dos restantes están en proceso de ajuste por parte del
contratista. Se presentaron informes del PMO correspondientes al informe de marzo, abril y mayo de 2021. Estos informes están en proceso de ajuste por parte de la PMO para su posterior aprobación y pago. En cuanto a TAR se firmaron acuerdos específicos 7, 8 y otro si al acuerdo 3, con relación al
programa de traslado de redes con la ETB y se registra con corte a 30 de junio un traslado total de 32 interferencias. En cuanto a la promoción de espacios de participación asociados al proyecto ya se encuentra publicado el proceso GCC-SAMC-001-2021, cuyo objeto es: ¿Prestar los servicios de
operador logístico para las actividades de comunicación, participación ciudadana y gestión social de la empresa metro de Bogotá, en ejecución del proyecto Primera Línea del Metro de Bogotá.¿, a través del cual se impulsarán actividades de promoción. Finalmente, haciendo uso de los diferentes canales
de comunicación de la EMB, se ha informado a los diferentes grupos de interés un total de 557.657 personas durante el 1er semestre de la vigencia 2021, sobre los avances y temas del Proyecto.</t>
  </si>
  <si>
    <t>En cuanto a la gestión de TAR se presentaron algunos retrasos referentes a respuestas por parte de terceras entidades, pero los mismos han sido solucionados y manejados en beneficio del proyecto y su ejecución de acuerdo con el cronograma. Frente a la gestión predial el predio restante de entrega
programado para el 2do trimestre de 2021, identificado con el CHIP AAA0150HLYX, se encuentra en el proceso de elaboración y suscripción del acta de entrega de la Empresa de Acueducto y Alcantarillado de Bogotá a la Empresa Metro de Bogotá, para posteriormente remitir a la Gerencia Técnica de la
entidad, lo que permitirá la programación de la entrega oficial del predio al concesionario.</t>
  </si>
  <si>
    <t>Avance Meta PDD
Meta de tipo constante cuyo avance es de 50% con respecto al 100% esperado para la vigencia 2021. Las principales acciones adelantadas fueron:
Se remitieron parámetros técnicos al IDU, el IDU se encuentra en la etápa de prefactibilidad y ellos realizaran el proceso de contratación de la Prefactibilidad, estudios y diseños para iniciar este año.</t>
  </si>
  <si>
    <t>Avance Meta PDD
Meta de tipo constante cuyo avance es de 50% con respecto al 100% esperado para la vigencia 2021. Las principales acciones adelantadas fueron:
En lo que corresponde al avance de las actividades tendientes a garantizar el cumplimiento de la meta propuesta, durante al periodo objeto del reporte se continua con la ejecución de los contratos CTO 587-20 y CTO 599-20 (mantenimiento e interventoría respectivamente).
Contratos por medio de los cuales se continúan ejecutando y garantizando los mantenimientos requeridos por la infraestructura del Sistema Integrado de Trasporte Público (componente BRT); sin embargo, consecuencia de las graves afectaciones generadas en la infraestructura del sistema BRT desde el
pasado 28 de abril de 2021 a la fecha, un alto porcentaje de la infraestructura se encuentra vandalizada; tales afectaciones, en la medida de lo posible se irán atendió acorde con las priorizaciones, presupuesto y considerando para ello varios factores de tipo técnico, operacional y de seguridad, así como
tiempos de producción de algunos elementos y de los tiempos disponibles para su ejecución</t>
  </si>
  <si>
    <t>A la fecha y si bien se ha dado continuidad a los mantenimiento programados, la alteración del orden publico en la ciudad y las graves afectaciones generadas en la infraestructura del sistema BRT desde el pasado 28 de abril de 2021, no permiten visibilizar las tareas realizadas; sin embargo,
adicionalmente se continua trabajando en varios frentes acorde con los lineamientos y priorizaciones realizadas con el objetivo de garantizar en el menor tiempo posible la disponibilidad de la infraestructura</t>
  </si>
  <si>
    <t>sdm - En lo corrido vigencia, se han adelantado las siguientes acciones:
*Se avanzó en la ejecución y seguimiento del firmado con la Gobernación de Cundinamarca, la Empresa Férrea Regional, el Instituto de Desarrollo Urbano y Transmilenio S.A. para la integración del Regiotram de Occidente el SITP de Bogotá en el mes de noviembre de 2020
-Se avanzó en la ejecución y seguimiento del convenio firmado con la Gobernación de Cundinamarca, la Empresa Férrea Regional y Findeter para llevar a acabo los estudios de factibilidad y la estructuración del proyecto Regiotram del Norte en el mes de noviembre de 2020
-Se presentaron propuestas desde el Sector Movilidad para el borrador de Ley Orgánica de la Región Metropolitana en lo que respecta a la creación de una Autoridad Regional de Transporte y su financiación.
tmsa - Avance Meta PDD
Meta de tipo creciente cuyo avance es de 30 con respecto al 40 esperado para la vigencia 2021. Las principales acciones adelantadas fueron:
Los proyectos para los Complejos de Intercambio Modal - CIM del Norte y 80, se encuentran en etapa de factibilidad. Esta fue presentada por parte de los proponentes y ya se generaron las respuestas a las observaciones realizadas.</t>
  </si>
  <si>
    <t>tmsa - Se han evidenciado retrasos en la etapa de construcción producto de ajustes requeridos en los estudios y diseños por parte del IDU, aprobaciones de las empresas de servicios públicos y la suscripción de modificatorios en los contratos para subsanar los temas evidenciados en la apropiación de diseños.
No hay retrazos en las actividades para los proyectos por parte de TRANSMILENIO S.A.</t>
  </si>
  <si>
    <t>sdm - "En lo corrido del Plan de desarrollo se ha realizado el mejoramiento de 10 estaciones con lo cual se alcanza un avance en el PDD del 23,26%, acciones que se han ejecutado a través de los siguientes puntos de inversión:
Ampliaciones de estaciones al sistema TM GP 1 ( 4) IDU-971-2020
Ampliación de estaciones de emergencia Gp 1 ( 5) IDU-1318-2018
Ampliación de estaciones de emergencia Gp 2 (1) IDU-972-2020
tmsa - Avance Meta PDD
Meta de tipo constante cuyo avance es de 50% con respecto al 100% esperado para la vigencia 2021. Las principales acciones adelantadas fueron:
Se participó en comités de seguimiento para verificar el avance de los 5 contratos IDU de mejoramiento de estaciones, además de los comités de seguimiento al convenio 20 de 2001. Se recibieron 5 estaciones ampliadas.
- Contrato 1309-18: en construcción de 9 estaciones.
- Contrato 1535-18: se encuentra en la terminación de los diseños para iniciar la construcción de 7 estaciones. Contrato suspendido por el IDU.
- Contrato 971-20: 4 de las estaciones entregadas (Fucha, San Martín y Humedal Córdoba y Consuelo), las otras 2 se encuentran en construcción.
- Contrato 972-20: Entregada la Estación Gratamira e inició la obra de dos estaciones.
- Contrato 973-20: Se encuentra en obra de las 3 externalizaciones de taquillas, e inició la construcción en tres estaciones</t>
  </si>
  <si>
    <t>IDU - No presenta retras
TMSA - No hay retrazos en las actividades para los proyectos por parte de TRANSMILENIO S.A. sin embargo, para el proyecto de Carboquímicas La adquisición está suspendida por falta de un cronograma aprobado por la SDA que armonice la descontaminación con la compra Responsabilidad de carboquimicas.
TRANSMILENIO S.A. recomendó Formular un plan B con otras alternativas de adquisición predial y acompañar a carboquimica este 2 semestre para definir el cronograma con IDU.
Para el patio el San José, se presenta un atraso debido a que se depende de respuesta de la oficina de registro de instrumentos públicos para que IDU avance con adquisición y factibilidad.</t>
  </si>
  <si>
    <t>En lo corrido del año 2021, se ha ejecutado un total de 9,8 km/carril de vía , correspondiente al 6,71 % de cumplimiento del la meta PDD en avances en las siguientes obras
AV. TINTAL DE AV. V/CIO. A AV. BOSA. IDU-1543-2018
AV ALSACIA (AV BOYACÀ - AV CALI) IDU-1539-2018
AV. ALSACIA (AV TINTAL A AV CALI) IDU-1540-2018
AV BOSA DESDE AV C CALI HAST AV TINTAL IDU-1533-2018
AV.JOSÉ C.MUTIS DE AK. 70- AV.BOYACA IDU-1851-2015
AV.ELRINCON KR91 AC131A D CR91 AV.CONEJE IDU-1725-2014</t>
  </si>
  <si>
    <t>Con la contratación de las etapas antecesoras  se pretende avanzar en el ciclo de vida de los proyectos  y por otra parte con la  la contrucción de nuevas  vias se  espera  ejecutar proyectos integrales incluyendo en su desarrollo entre otras la planeación, evaluación y priorización de proyectos y la construcción de la infraestructura requerida bajo los parámetros de diseño que concuerden con la denominación de las vías y andenes  según el Plan de Ordenamiento Territorial POT, garantizando especificaciones técnicas que hagan posible una movilidad eficiente para optimizar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t>
  </si>
  <si>
    <t xml:space="preserve">En lo corrido del año 2021, se ha ejecutado un total de 2,83 km de ciclorruta que representan el 1,26% de avance frente a la meta del Plan de distribuidos de la siguiente manera:
AV. TINTAL DE AV. V/CIO. A AV. BOSA. IDU-1543-2018
AV BOSA DESDE AV C CALI HAST AV TINTAL IDU-1533-2018
AV.JOSÉ C.MUTIS DE AK. 70- AV.BOYACA IDU-1851-2015
AV.ELRINCON KR91 AC131A D CR91 AV.CONEJE IDU-1725-2014
</t>
  </si>
  <si>
    <t xml:space="preserve">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
</t>
  </si>
  <si>
    <t>Si bien es cierto la meta no presenta avance , a la fecha se encuentran contratados 15 de los 26 programados, , una vez se culminen dichos contratos se reporta su ejecución, en puntos como :
PTE. VEH. AV C CALI POR AV FERROCARRIL ( 2) IDU-1550-2018
MANTENIMIENTO PUENTES VEHICULARES (8) IDU-1711-2020
INTERSECCION AV.RINCON X AV.BOYACA (3) IDU-1550-2018
INTERSECCION AV ALSACIA POR AV BOYACA (2) IDU-1539-2018"</t>
  </si>
  <si>
    <t>Con corte a junio de 2021 la meta no reporta beneficios por cuanto se está en la etapa contractual. Sin embargo,se espera que con con la construccion , reforzamiento o mantenimiento de los puentes vehiculares se logre dar conectividad a las vias y por ende se disminuyan los tiempos de  de recorrido vial.</t>
  </si>
  <si>
    <t>EEn lo corrido plan de desarollo 2020-2024 se han desarrollado las siguientes acciones:
1. Documento de reestructuración de taxi inteligente y cronograma de implementación.
2. Diagnóstico de zonas amarillas en la ciudad.
3. Diagnóstico del servicio de taxi aplicando el modelo de calidad basado en indicadores y avance en la estrategia de implementación.
4. Términos de referencia para proceso de asistencia técnica por parte del Banco Mundial.
5. Articulación con Secretaría Distrital de la mujer para la definición de condiciones que permitan la conexión de las plataformas del servicio de Taxi con la aplicación GABO, en el marco de la política de género.
6. Co-creación con el gremio de la Visión del servicio 2030.
7. Desarrollo de mesas de trabajo con los representantes del gremio para la construcción de estrategias en pro de la calidad, sostenibilidad y competitividad del gremio.
8. Seguimiento continuó de las actividades de control adelantadas por la entidad respecto a la prestación de servicios no reglamentados.</t>
  </si>
  <si>
    <t>Mejoramiento en la experiencia de viaje del usuario y del prestador del servicio de transporte público individual, a través del reporte de información de taxi, uso de plataformas por parte de los usuarios  y mayor control por parte de la SDM de las tarjetas de control, así como la elaboración de estrategias de mejora que incidan en la experiencia del usuario de taxi y los prestadores del servicio
Confiabilidad en el servicio y mejor experiencia de viaje en Bogotá y la Región, mediante el desarrollo de estrategias como las zonas amarillas que organizan la ciudad y dan confianza a los usuarios de taxi.</t>
  </si>
  <si>
    <t>IDU_En lo corrido de la vigencia 2021 se han conservado 1,03 km de ciclorrutas a través de los contratos IDU-1639-2019 MANT ESP PUBLICO Y CICLORUTA e IDU-1300-2020 MANT ESP PUBLICO Y CICLORUTA con los cuales se alcanza un 0,94% de avance frente a la meta del PDD
UMV_En la Estrategia de Mantenimiento Ciclorutas, se ejecutaron 0,61 km-carril de cambio de carpeta en la calle 13 entre las carreras 97 y 135.
SDM_En lo transcurrido del Plan de Desarrolo se han mantenido 5,03 km de cicloinfraestructura existente. En lo que respecta a la vigencia 2021 se han mantenido 0,04 km de cicloinfraestructura existente. Entre el año 2020 y 2021 se han intervenido 4 localidades las cuales son: Kennedy, Suba, Santa Fe y
Teusaquillo. Se realizó la priorizacion de la cicloinfraestructura existente en las diferentes vias del Distrito. Posteriormente se realizó la asignación al contrato de obra correspondiente a cada zona, para su mantenimiento en campo, bajo la supervision de actividades por parte de la Entidad.</t>
  </si>
  <si>
    <t>No se reportan retrasos</t>
  </si>
  <si>
    <t>El mantenimiento de ciclo-infraestructura en la ciudad ha logrado mantener  las condiciones de seguridad vial, conectividad entre tramos existentes, ya que se mejoró la infraestructura existente para que sean zonas adecuadas y exclusivas para la circulación de los Biciusuarios. Adicionalmente en la medida que los diferentes actores viales han conocido  y  respetado dichas zonas, estas han cumplido con su función haciendo que el desplazamiento de los mismos por las vías se haya realizado de manera más segura y ágil.</t>
  </si>
  <si>
    <t>IDU_Con corte a 30 de Junio de 2021 se tienen programada la contratación para conservar 201,76 km-carril en las mallas viales de la ciudad y presenta un avance de 92,58 km-carril que frente a la meta plan de desarrollo de 938 km carril equivale 9,87% de cumplimiento, acciones que se han
realizado a traves de los programas de conservaciòn así:
MANTENIMIENTO DE 47,73 KM-CARRIL MALLA VIAL ARTERIAL
MANANTENIMIENTO 37,95 KM-CARRIL DE MALLA VIAL INTERMEDIA
REHABILITACION DE 1,16 KM-CARRIL DE MALLA VIAL INTERMEDIA
REHABILITACION DE 6,9 KM-CARRIL DE MALLA VIAL RURAL
UMV: De acuerdo con lo programado se presenta un avance en obra de 43.09%, se intervinieron 135.36 km-carril de malla vial local e intermedia, 8,65 km- carril de malla vial arterial y 0,80 km-carril en la malla vial rural del Distrito, para un total de 144.81 km carril intervenidos en 998 segmentos y se taparon un
total de 116.311 huecos; y entre las principales vías intervenidas se destacan la Av. Carrera 72, Av. Carrera 45, Av. Calle 24, Av. Calle 13, Av. Calle 17 y Carrera 7.
Así mismo las intervenciones realizadas corresponden a: Parcheo/Bacheo, Cambio de carpeta, Rehabilitación en flexible, Cambio de losa, Rehabilitación en rígido, Sello de fisuras, y fresado estabilizado.
En lo corrido del primer semestre se atendieron 13 emergencias, así: por remoción en masa en el barrio Potosi material desprendido por caída de talud, y remoción en masa en la localidad chapinero barrio Siberia Central retiro de escombros para habilitar paso vehicular en vía terciaria; emergencia
remoción en masa en el barrio Paraiso -Cerro del Cable; cuatro apoyos institucionales a la PONAL, Fiscalía, FDL Mártires, Alcaldía Mayor por expropiación y demolición del bien por uso de microtráfico y explotación infantil; de acuerdo al Plan 100 contra microtráfico en el barrio la Favorita; deslizamiento de
tierra sobre la vía llevado a cabo en el barrio Parque Nacional, remoción en masa y deslizamiento de tierra sobre la vía en el barrio Santa Cecilia Puente Norte; emergencia por socavación y ceconformación de calzada barrio Tibaque III; emergencia por ruptura de tubo de agua potable barrio Bellavista;
apoyo por la vuelta a Colombia parcheo en malla vial arterial barrio Pardo Rubio; recuperación de la banca por caída en la quebrada trompeta, sector las hormigas - vía de acceso principal a la sede de producción de la UMV en el barrio El Mochuelo III.
Finalmente, es importante destacar que la UAERMV ha logrado beneficiar alrededor de 2.716.416 habitantes del distrito capital, reduciendo sus tiempos de desplazamiento y mejorando las condiciones de movilidad, seguridad y calidad de vida.</t>
  </si>
  <si>
    <t>IDU_No se presentan retrasos
UMV_La ruralidad se encuentra recuperando avance en otras zonas del distrito debido a que para lo programado en Sumapaz, la población de la localidad ha seguido con su posición de dejar entrar gente, materiales y equipos para trabajar, pero no dejarlos salir. Se espera contar con una mayor cantidad de
segmentos priorizados para el mes de julio</t>
  </si>
  <si>
    <t xml:space="preserve">Con las acciones adelantadas se ha optimizazdo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
De igual manera la conservación ha permitido mantener en buen estado la malla vial arterial e intermedia, dismiuyen el deterioro y por ende el costo de intervenciones futuras.
</t>
  </si>
  <si>
    <t>En cuanto a la cifra de muertes en siniestros viales, se registraron a 30 de junio del 2021: 201 víctimas fatales (71 peatones, 39 ciclistas, 69 motociclistas, 5 conductor, 17 pasajeros) en la ciudad, resultando en una reducción del 15% frente a las muertes registradas en el año 2019 (236 víctimas fatales: 107
peatones, 36 ciclistas, 59 motociclistas, 6 conductores, 28 pasajeros). Esta información fue tomada de ArcGis PRO, SDM el 01/07/2021, y son datos preliminares, susceptibles de modificación.
Algunas de las acciones del Plan Distrital de Seguridad Vial (PDSV) 2017-2026 que se han realizado para lograr la disminución de fatalidades en accidentes de tránsito, son: actualización de 5 Lineamientos de Seguridad Vial (Planes de Manejo de Tránsito, Infraestructura para Peatones, Semaforización,
Rutas del Sistema Integrado de Transporte Público y Paraderos del Sistema Integrado de Transporte Público) y el seguimiento a la implementación de todos los lineamientos de Seguridad Vial, análisis de siniestralidad como insumo a las acciones en materia de control, comunicación, educación e
infraestructura; Gestión de preparación, planeación y realización de la Semana Internacional de Seguridad Vial de Naciones Unidas en la ciudad, con participación del Secretario de Movilidad en los eventos sobre víctimas, sobre velocidad de la Agencia Nacional de Seguridad Vial-ANSV y eventos
internacionales; a partir de los corredores priorizados por el IDU para el año 2021, se adelantó cruce de huecos reportados en junio que causan siniestralidad a motociclistas en estos corredores; realización de diferentes actividades programadas durante el ¿mes de prevención vial del motociclista¿; Gestión
de estrategia integral y acciones puntuales para mejora en movilidad de la Av. Calle 13, se realizaron las siguientes actividades: -Análisis y priorización de zonas escolares y tramos de calles comerciales para su posterior intervención y gestión en el marco del PGV; -Análisis y visita de campo a tres
corredores de la localidad de Bosa para identificar potenciales mejoras al tránsito peatonal, en el marco del proyecto de Andenes Emergente; Adecuación franja ciclo peatonal Calle 13 y se cuenta con avances del 60% aproximadamente de esta actividad. En el marco de la Iniciativa Barrios Vitales, que
propende por la gestión de la velocidad para generar espacios más seguros y fomentar el uso de modos sostenibles, caminar y montar bici. Gestión de información y visita técnica para la definición del plan de acción y priorización del proyecto en la Localidad Kennedy (Barrios el Jazmín, Ciudad de Cali, Los
almendros, Calandaima). Estructuración de la estrategia de recuperación de andenes para peatones; diseño de indicadores de gestión y de medición de impactos del Plan de Gestión de la Velocidad; gestión interinstitucional a través de comités y mesas de trabajo para tratar temas con impacto en
seguridad vial.</t>
  </si>
  <si>
    <t>El mayor impacto registrado es la reducción del número de víctimas fatales en siniestros viales, especialmente en el usuario vulnerable tipo peatón, así como la reducción del 9% de jóvenes (entre 14 y 28 años) fallecidos por siniestros viales, a 30 de junio del 2021 (Esta información fue tomada de ArcGis PRO, SDM el 01/07/2021, y son datos preliminares, susceptibles de modificación) se han registrado 75 jóvenes (entre 14 y 28 años) víctimas fatales, frente a 82 jóvenes (entre 14 y 28 años) víctimas fatales a junio del año 2019.</t>
  </si>
  <si>
    <t>En lo que va corrido del Plan de Desarrollo, el Sector Movilidad ha logrado un avance en la definición e implemenbtación del 0,30. En lo que respecta al 2021, se logró un avance del 0,19. A continuación las principales acciones:
UMV: Se adelantaron acciones asociadas a la definición de cinco estrategias de cultura ciudadana que promoveran el fomento de acciones de Civismo y Urbanidad en la Ciudadanía; que buscaran el reconocimiento del esfuerzo institucional para mejorar la movilidad a través de las obras; y que en donde se realizaran acciones pedagógicas sobre el buen uso de la malla vial. 
Con respecto a la implementación de las estrategias de cultura ciudadana se destaca que en el objetivo 1: fomentar acciones de civismo y urbanidad en la ciudadanía, se desarrollaron avances en la E.C. campaña ahora somos más ciudadanos por medio de la estrategia de mensaje en obra. 
Objetivo 2 Buscar el reconocimiento del esfuerzo institucional para mejorar la movilidad a través de las obras, se desarrollaron avances en la E.C.charlas para el respeto, la prudencia y la paciencia en los frentes de obra, por medio de la elaboración y puesta en marcha de la encuesta de cultura ciudadana. A partir de esta encuesta se profundizará en qué aspectos se deben fortalecer el personal de los frentes de obra, asociada a temas estratégicos que serán desarrollados en las charlas propuestas en la estrategia. Por otra parte, como avance E.C. humanizando la labor del personal en obra, se destaca la definición del paso a paso para implementar esta estrategia durante el tercer y cuarto trimestre del año. 
Objetivo 3 Realizar acciones pedagógicas sobre el buen uso de la malla vial, se desarrollaron avances en la E.C. cuidando ando en donde se seleccionaron los sectores donde se aplicará esta estrategia, que, para el caso particular, se destaca la localidad de Kennedy, en el sector del barrio el Amparo.
Objetivo 4 Adaptar la infraestructura del D.C. para la reducción de los conflictos en el S.M, se desarrollaron avances en el avance E.C. la trece se crece, en donde se avanzó en la identificación de los responsables de la elaboración de las piezas comunicativas asociadas a la implementación de la cicloruta de la calle 13.
SDM -Al corte del informe, la Secretaría Distrital de Movilidad diseñó e implementó las siguientes campañas de cultura para la movilidad sostenible: i) Un Pedido por la Vida; ii) Tú Eres el Corazón de la Nueva Movilidad, con la promoción de tres pilares de cultura ciudadana: pilera, prudencia y paciencia, que se busca establecer narrativas y acuerdos colectivos que permitan mejorar los comportamientos de los ciudadanos en el sistema de movilidad; iii) Gerencia En Vía; iv) No Pares la Vida, dirigido a la protección del Sistema Sitp-TransMilenio, como un patrimonio de toda la ciudad que presta un servicio público esencial para la movilidad de los habitantes de Bogotá y v) el Curso Virtual para Motociclistas: La Nueva Movilidad, Actores en la Vía, estas acciones fueron desarrollas para promover un mejor comportamiento entre los distintos actores viales y prevenir siniestros viales, en el marco de la seguridad vial y la prudencia en la movilidad.
Se desarrollaron las acciones pedagógicas en tres escenarios como fueron el virtual, presencial y acciones en vía, jornadas de educación tanto virtuales como presenciales, implementando 532 acciones de educación vial que redundaron en la disminución de incidentes viales a nivel distrital, así: i) 289 acciones pedagógicas en empresas y entidades; ii) 178 acciones pedagógicas en Instituciones educativas y iii) 65 acciones pedagógicas En Vía, cuyo objetivo fue promover hábitos, actitudes y comportamientos adecuados en la vía, y fomentar la seguridad vial, la cultura ciudadana, la sana convivencia y el buen aprovechamiento del espacio público, en las que participaron alrededor de 23.103 ciudadanos
TMSA: en ejecución de la estrategia de cultura ciudadana denominada Equipo T, se han adelantado diferentes acciones en el marco de la misma.  Lo anterior, a través de la participación de los diferentes componentes de la Subgerencia de Atención al Usuario y Comunicaciones, en articulación con las tres líneas de acción de la estrategia.
- Desarrollo de acciones de cultura ciudadana  relacionadas con: reducción de la evasión; uso de la bici; TransMiCable, en el marco de la emergencia sanitaria; reducción de acoso sexual; prevención del COVID en el Sistema.
- Divulgación de dos contenidos de interés ciudadano a través de los canales oficiales de la entidad (Mujer/TransMiCable).
- Dos campañas de posicionamiento sobre los canales oficiales de TM para incentivar una cultura de uso de estas herramientas.
- Tres actualizaciones de los canales internos de comunicación.
- Diseño de tres estrategias de gestión social para promover la comunicación permanente con los usuarios y el buen trato de los mismos hacia los colaboradores del Sistema. 
- Promoción interna de 3 campañas de cultura
- Articulación de una Política Pública con la entidad.
- Promoción de 4 campañas de atención al usuario.
 Lo anterior, con el propósito de promover la cultura ciudadana en los usuarios que hacen uso del Sistema y ciudadanía en general, así mismo al interior de la entidad como cultura organizacional.
EMB:Se inició el proceso precontractual para la contratación que permitirá durante el 2021 realizar un diagnóstico que sirva como insumo para la formulación de la Política de Cultura Ciudadana de la Primera línea del Metro de Bogotá, esto soporta el 20% de avance con corte a 30-jun-2021, equivalente a 0.002 de ejecución frente al 0.010 programado para este año con relación a la meta PDD correspondiente 0.25  estrategias de cultura ciudadana implementadas. Es de anotar que la parametrización del sistema no permite la edición de valores mayores a 3 decimales, por tanto, el % de avance para este caso se reporta en avance y/o logros.
IDU - Esta meta no presenta recursos  disponibles para la vigencia 2021, se proyecta para la vigencia 2022</t>
  </si>
  <si>
    <t>Las campañas de cultura ciudadana para el sistema de movilidad, con enfoque diferencial, de género y territorial, benefician a la ciudad en los siguientes aspectos:
1. Fortalecen los conocimientos e interiorización de las normas y el uso adecuado del espacio público
2. Generan el aprendizaje y la recordación entre los motociclistas domiciliarios del límite de velocidad máxima, así como las transformaciones en la percepción del costo familiar que implican los siniestros viales.
3. Generan conciencia para el cuidado del patrimonio a través de la exposición de relatos de vida y de los beneficios que presta el transporte público  en  la ciudad, en medio de las acciones violentas y de bloqueo del sistema Sitp-TransMilenio
4. Disminuyen  los incidentes viales  con la recordación sobre velocidad máxima en corredores principales (50 km/h) y formentar el cuidado de los actores viales más vulnerables (peatón, ciclistas y motociclistas).
5. Generan cultura ciudadana y transformaciones en diferentes zonas de intervención por la Entidad, para la concientización y el cuidado del actor vial más vulnerable, el peatón.</t>
  </si>
  <si>
    <t>TMSA_Meta de tipo creciente cuyo avance es de 88.89 con respecto al 79.30 esperado para la vigencia 2021. Las principales acciones adelantadas fueron:
El resultado corresponde al porcentaje acumulado del Indicador de Confiabilidad del componente troncal para el primer semestre de 2021.
Se logró una mejora en el Índice de Regularidad del intervalo del componente Zonal, pasando de cifra de mes a 68,1 en marzo de 2020, a partir de marzo el valor promedio se ha mantenido en 79%. Si bien parte de esta mejora se debe a las acciones adelantadas para garantizar una mejor prestación del
servicio, dicho valor se ve afectado de manera favorable por las restricciones de movilidad con ocasión de la declaración de pandemia por Covid 19, sin embargo, eventos como manifestaciones o congestión vehicular, tienen un impacto ligeramente desfavorable, por lo que se espera una pequeña
reducción del indicador con el regreso a la normalidad.
En lo tecnológico, se avanzó en revisión fichas técnicas equipamiento no SIRCI e inspección buses prototipo, Mejoras código solución GTFS en Nube, reporte conjuntos datos GTFS en Google y portal datos abiertos, inventario servicios web Geográficos y migración, Levantamiento requerimientos y
construcción documentos kilometraje e indicadores e integración con T-DOC. Actualización Plan Gest.Segur.de la Inform. en continuidad negocio e inclusión DTS en el SGSI, Adopción Monitoreo Segur. informática.
SDM:  En lo corrido vigencia se han adelantado las siguientes acciones:
Los estudios de tránsito revisados y aprobados durante este período para equipamientos de transporte del sistema de movilidad: Contrato IDU-1619 de 2019 Estudio, diseño y construcción de mejoras geométricas y nueva salida del Portal Troncal 80, Acción Popular 2013-0399 Malla vial y andenes en la
Carrera 4Este entre Calles 46D Sur y 45 Sur La Victoria, Contrato IDU-1650 de 2019 Estudios, diseños y construcción del Canal Córdoba entre Calles 129 y 170, Contrato IDU-1347 de 2017 Estudios y diseños conexión regional Canal Salitre y Rio Negro NQS- AK7; IDU-1624 de 2019 Estudios, diseño y
construcción Paseos Comerciales Fase II Puente Aranda. También se aprobaron estudios de tránsito de Patios zonales SITP: Aeropuerto, Usme Centro, Alameda El Jardín, María Juana, Perdomo, El Gaco, El Uval.</t>
  </si>
  <si>
    <t xml:space="preserve">
La meta no presenta retrasos
</t>
  </si>
  <si>
    <t>La revisión de los estudios de tránsito se ha efectuado con normalidad, dando respuesta en los términos establecidos en la normatividad, gracias a las mesas de trabajo que se programan con los consultores. La implementación de los proyectos aprobados, tiene como área de intervención el Distrito Capital y la Región. La apuesta de transformación se refleja en la viabilidad de los estudios de tránsito para la ejecución de proyectos de infraestructura vial y de equipamientos de transporte del sistema de movilidad. De otra parte, se mejoró el Índice de Regularidad del intervalo del componente Zonal, pasando de cifra de mes a 68,1 en marzo de 2020, a partir de marzo el valor promedio se ha mantenido en 79%.</t>
  </si>
  <si>
    <t xml:space="preserve">SDM_En lo corrido vigencia, se avanzó en el estudio del servicio mixto en la localidad de Sumapaz
Están en curso la viabilidad de tres corredores preferenciales, El primero, sobre la calle 80 entre el Puente de Guadua y el Portal de la 80, el segundo, la carrera 13 entre la calle 67 y la calle 19 y el tercero sobre la Avenida José Celestino Mutis entre la av. NQS y la Carrera 110. Entre estos corredores, se
tienen en estudio 27 km de carril preferencial para su viabilidad. km de carril bus.
Se viene desarrollando reuniones con el gremio revisando el retiro y adquisición de vehículos del SITP Provisional y la transición al SITP, al igual que se siga prestando un transporte adecuado a los usuarios.
Se realiza el impulso de las estrategias del plan de movilidad accesible y de carriles preferenciales
TMSA: Meta de tipo creciente cuyo avance es de 82.835 con respecto a las 158.606 Sillas esperadas para la vigencia 2021. Las principales acciones adelantadas fueron:
A junio de 2021 ya se tiene toda la flota troncal vinculada, para un total de 474,510 sillas vinculadas; con relación al componente zonal ya se tienen 443.096 sillas de flota vinculada, para un total de 917.606 sillas disponibles, equivalente a un aumento de 82.835 sillas de oferta (9,92%) con respecto a la
línea base para el Plan de Desarrollo (834.771)
</t>
  </si>
  <si>
    <t>Con las acciones adelantadas en el sistema de transporte público se ha aumentado la capacidad  en los componentes troncal y zonal, y se han logrado reducir las barreras de acceso el Sistema Integrado de Transporte Público (SITP), las cuales han tenido lugar por los altos gastos en transporte en que deben incurrir las poblaciones de menores ingresos, limitando su acceso a los bienes y servicios que ofrece la ciudad, esenciales para su desarrollo humano, a la vez que se mejoran las condiciones bajo las cuales se presta el servicio.</t>
  </si>
  <si>
    <t>Si bien la meta final no presenta avance, se han relaizado acciones para avanzar en la etapa antecesora como son los diseños asi : A través del contrato 1630 de 2020 el IDU está realizando los estudios y diseños del cable, que estarán finalizados en febrero de 2022. El cable beneficiará los más de 400
mil habitantes de la localidad en 2.8 km de línea con tres estaciones. Paralelamente la SDHT está estructurando el proyecto de revitalizacion en el área de influencia del cable que incorpora espacios dotaciones, de renovación, densificacion para vivienda entre otros
Respecto a la estructuración de otros cables, el Cable reencuentro Monserrate. Mediante el contrato 1330 de 2021 el IDU está realizando los estudios de prefactibilidad de este cable de más de 7 kilómetros que se conectara con el corredor verde la la séptima en inmediaciones del Museo Nacional y el
centro internacional y conectara el sector universitario los barrios los Laches, El Consuelo, El dorado con la estación bicentenario de Transmilenio y con la PMLM en el parque tercer Milenio. Los estudios finalizarán en enero de 2022
A través de la Agencia Francesa de Desarrollo se van a realizar los estudios de factibilidad de un cable que conecte ciudad bolivar en Sierra Morena con Soacha estos estudios de contratarán el mes de octubre del presente año.</t>
  </si>
  <si>
    <t xml:space="preserve">No presenta beneficios por cuanto se está en la etapa antecesora. Así las cosas, los beneficios se reflejarán posteriormente, y éstos están relacionados con:
El cable de san cristobal  que beneficiará  a  más de 400 mil habitantes de la localidad en 2.8 km de línea con tres estaciones.
Respecto a la estructuración de otros cables, el Cable reencuentro Monserrate  tendrá  más de 7 kilómetros que se conectará con el corredor verde la la séptima en inmediaciones del Museo Nacional y el centro internacional y conectará el sector universitario los barrios los Laches, El Consuelo, El dorado con la estación bicentenario de Transmilenio y con la PMLM en el parque tercer Milenio. 
</t>
  </si>
  <si>
    <t>El avance acumulado de la meta para el cuatrienio y el Plan Distrital de Desarrollo entre julio de 2020 y junio 2021 se ha logrado beneficiar a 15.809 estudiantes a través de las metas relacionadas con Al Colegio en Bici y Ciempiés con un total de 124.781 viajes, 13 visitas a colegios y 750 controles a
vehículos en Ruta Pila.
En lo que respecta a la vigencia 2021, se ha logrado beneficiar a 12,874 estudiantes. En conjunto con la SED, se ha venido trabajando en una propuesta para el desarrollo de rutas de confianza, caminos seguros y cicloexpediciones de grupos más pequeños adaptandonos de esta manera a las nuevas
medidas que ha tomado el Gobierno Nacional para evitar la propagación del virus y mantener a los Estudiantes seguros. Para ello se han definido actividades pedagogicas en parques cercanos a los lugares de residencia de los Estudiantes, con la implementacion de protocolos de bioseguridad, desde el
mes de febrero de 2021. El proyecto Al Colegio en Bici durtante lo corrido del año, ha logrado beneficiar a 2.185 estudiantes matriculados en instituciones educativas distritales de las 13 localidades donde opera el proyecto.
De los 2.185 estudiantes beneficiados 1.753 se encuentran entre los 5 y los 12 años de edad, y 432 de 13 en adelante; el proyecto Ciempiés Caminos Seguros a corte de junio logró beneficiar a 1.019 estudiantes, de los cuales 917 se encuentran entre los 5 y los 12 años de edad y 102 de 13 en adelante; a
través del programa ruta pila se han benefiado 9670 estudiantes.</t>
  </si>
  <si>
    <t>La condición de pandemia continúa retrasando el reinicio de las clases presenciales en las instituciones educativas de la ciudad, afectando significativamente el inicio de operación de Ciempiés y Al Colegio en Bici ABC, y la realización de actividades de prevención y control de vehículos de transporte
escolar realizados por el programa Ruta Pila. Se realizó rápida gestión de contratación desde la SDM. Adicionalmente se adelantó la gestión con Instituciones Educativas, para el incio de la operación en parques, de caminos seguros y rutas de confianza. Adicionalmente, se implementaron salidas los
sábados, actividades en vacaiones y viajes extra en los recorridos.</t>
  </si>
  <si>
    <t>Con las acciones adelantadas, se lograron los siguientes beneficios:
*Mejoras a la experiencia de viaje mediante la enseñanza de conocimientos en movilidad, cultura vial y modos sostenibles de transporte que las niñas y niños podrán aplicar una vez caminen de regreso a sus colegios.
*Acompañamiento a los recorridos de las NNA hacia los parques y espacios públicos de manera segura.
*Brindar espacios más seguros y eficientes para el
desplazamiento diario de la población infantil y adolescente en Bogotá. 
*Creación de espacios para que la población escolar explore su entorno de manera segura y feliz. Esto, con el objetivo de que reconozcan su ciudad, la disfruten y se apropien de ella. 
*Coadyuvar al acceso y la permanencia en las instituciones educativas, realizar actividad física, incentivar el deporte como hábito y práctica saludable para sus vidas.
*Aportes al proceso formativo de niñas, niños y adolescentes a través de las actividad física al aire libre, acciones pedagógicas y recreativas.
* Beneficios asociados a la actividad física, dentro de los cuales se encuentran impactos a la salud corporal y mental.</t>
  </si>
  <si>
    <t>Concentración promedio ponderado de ciudad de material particulado PM 10</t>
  </si>
  <si>
    <t>La SDM ha trabajado con la SDA en la construcción del Plan Aire que será la hoja de ruta para la reducción de la concentración de material particulado.
-Definición de un Plan Estratégico Peatonal 2021
-Intervenciones de peatonalizaciones
-Resignificación de vías peatonales que están siendo usadas por carros
-Barrios Vitales
Se está avanzando en la estrategia de despliegue de infraestructura de vehículos eléctricos, la solicitud de creación de actividad permitirá que en espacio público y bienes públicos se pueda instalar infraestructura de recarga a través de una licitación. Adicionalmente, a través de cooperación internacional
se logró conseguir dos asistencias técnicas que buscan fortalecer el documento técnico de soporte.
La estrategia de reposición de taxis tiene mayor viabilidad de tener éxito si se retoma la confianza de los taxistas del piloto.
La Secretaría Distrital de Ambiente, en el marco del cumplimiento de la meta de la concentración promedio ponderado de ciudad de material particulado PM10. Los avances del 2021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30 de junio: 34,4 microgramos por metro cubico.
Nota; para el promedio ponderado de PM 10 durante abril, se debe aclarar, que la concentración de la estación Carvajal ¿ Sevillana fue tomada como indicativa ya que no cumplió con la representatividad temporal (mínimo el 75 % de datos validos) debido a problemas con el equipo que no se pudieron
resolver por falta de acceso a la estación. Correo Claudia O. 14072021.</t>
  </si>
  <si>
    <t xml:space="preserve">Disminuir la concentración de material particulado, lo cual se refleja en beneficios en salud pública para la ciudadanía.
Se considera relevante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 viajes a pie.
Por tanto, se busca que Bogotá se convierta en una ciudad donde la ciudadanía y especialmente las mujeres y los niños puedan caminar para tener acceso a todo tipo de servicios y al transporte público en virtud de mejorar la calidad de vida. </t>
  </si>
  <si>
    <t>Concentración promedio ponderado de ciudad de material particulado PM 2,5</t>
  </si>
  <si>
    <t>La SDM ha trabajado con la SDA en la construcción del Plan Aire que será la hoja de ruta para la reducción de la concentración de material particulado.
-Definición de un Plan Estratégico Peatonal 2021
-Intervenciones de peatonalizaciones
-Resignificación de vías peatonales que están siendo usadas por carros
-Barrios Vitales
Se está avanzando en la estrategia de despliegue de infraestructura de vehículos eléctricos, la solicitud de creación de actividad permitirá que en espacio público y bienes públicos se pueda instalar infraestructura de recarga a través de una licitación. Adicionalmente, a través de cooperación internacional
se logró conseguir dos asistencias técnicas que buscan fortalecer el documento técnico de soporte.
La estrategia de reposición de taxis tiene mayor viabilidad de tener éxito si se retoma la confianza de los taxistas del piloto.
La Secretaría Distrital de Ambiente, en el marco del cumplimiento de la meta de la concentración promedio ponderado de ciudad de material particulado PM 2.5. Los avances del 2021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30 de junio: 17,3 microgramos por metro cubico.
Nota: para el promedio ponderado de PM 2.5 durante abril, se debe aclarar, que la concentración de la estación Carvajal ¿ Sevillana fue tomada como indicativa ya que no cumplió con la representatividad temporal (mínimo el 75 % de datos validos) debido a problemas con el equipo que no se pudieron
resolver por falta de acceso a la estación.</t>
  </si>
  <si>
    <t>Con corte a 31 de Marzo de 2021 el IDU han mantenido 14,68 km- carril de malla vial troncal lo que conlleva a un cumplimiento del 4.11% frente a la meta PDD, dichas acciones se relizado a traves de :
MANTENIMIENTO TRONCALES TRASNMILENIO G2</t>
  </si>
  <si>
    <t>En lo que va corrido del Plan de Desarrollo 2020-2024, se ha logrado mantener el tiempo promedio de viaje por debajo de los 50 minutos. Lo anterior, gracias a que se ha mantenido por encima del 99% la disponibilidad del Sistema de semaforización, se realizaron jornadas de gestión en vía ayudando a la
movilidad, la subdirección de PMT realizó todas las gestiones con el fin de no tener afectaciones en los tiempos de viaje para los usuarios de modos motorizados (vehiculares) en la infraestructura vial, por efecto de las obras y la implementación de PMT sobre los catorce (14) corredores viales principales,
entre otras. Es preciso tener en cuenta, que en el mes de abril se presentaron situaciones como cuarentenas por días, sistema 4x 3 y toque de queda que puede afectar comportamientos en los viajes de las personas y por ende afectar los tiempos de viaje. De igual manera, y debido a las manifestaciones
presentadas en la ciudad no se implementaron pruebas pilotos, la demanda de viajes en transporte privado disminuyó en los corredores donde se tenía planeado ejecutar pruebas pilotos y no se vio la necesidad de su implementación, además, que el personal de grupo GUIA fue destinado a la atención de
marchas. En el mes de junio se implementaron medidas en el corredor de la autopista norte, se comenzó el desmonte de la ciclorruta en calzada del corredor Av Calle 13; para los demás corredores se tiene el equipo de gerencia en vía regulando los puntos críticos por congestión.</t>
  </si>
  <si>
    <t>Bogotá es la primera ciudad del país en contar con un Centro de Orientación para Víctimas por Siniestros Viales, donde se informa y orienta a las víctimas por siniestros viales y sus familiares acerca de los procedimientos que pueden seguir en materia social, jurídica y psicológica tras un incidente de
tránsito, con el fin de brindarles herramientas para adaptarse adecuadamente a sus nuevas condiciones en la vida. Adecuación franja ciclo peatonal
Entre el 1 de abril y el 30 de junio fueron atendidas 58 víctimas de siniestros viales, de las cuales 30 son conductores, 3 motociclistas, 10 pasajeros, 0 ciclistas y 15 peatones. Se realizaron 58 citas de acogida, 49 citas de orientación jurídica, 31 citas de orientación social y 69 citas de orientación psicológica,
para un total de 207 citas.</t>
  </si>
  <si>
    <t>No se presentan retrasos a la fecha</t>
  </si>
  <si>
    <t>En lo corrido de la vigencia se han adelantado las siguientes acciones:
1. En el marco de la excepción al Pico y Placa para vehículos con 3 o más ocupantes, se continuaron registrando aproximadamente 30.000 vehículos semanales.
2. En el marco de la encuesta de gestión de la demanda y movilidad compartida, se capturaron las preferencias declaradas de más de 3100 personas que la respondieron.
Con el apoyo del equipo técnico se desarrollaron las siguientes estrategias o actividades que se definen a continuación para avanzar en el desarrollo de la meta. Adicionalmente, varios de los procesos contaron con el apoyo de plan de medios para lograr el acercamiento con los actores necesarios para la
implementación de los proyectos.
1. Configuración de experimento de testeo de mensaje sobre movilidad compartida en redes sociales. Como resultado del experimento de divulgación de una pieza comunicacional sobre movilidad compartida, que la Red Muévete Mejor hizo en coordinación con la organización aliada "Movilizatorio". La
pieza se divulgó a 2 segmentos poblacionales, joven y adulto, cuando se envió la pauta a al segmento joven, alcanzó a 6,532 personas y tuvo 206 interacciones mientras que con el segmento mayor se alcanzaron 3,582 personas y tuvo 147 interacciones, lo que permite concluir que el segmento joven es
más receptivo a los mensajes sobre carro compartido.
2. Convocatoria a empresas privadas, entidades públicas y universidades en una prueba de aplicaciones (app) de movilidad compartida, para evaluar su potencial capacidad para realizar controles de los viajes compartidos en la ciudad.
3. Aplicación de encuesta que evalúa temas de gestión de la demanda, con énfasis en aspectos de movilidad compartida.
4. Se diseñó encuesta para las personas que han utilizado la excepción al Pico y Placa para vehículos con 3 o más ocupantes.
5. Se presentaron los resultados de la evaluación de los carriles para vehículos de alta ocupación.</t>
  </si>
  <si>
    <t>La meta no presenta retrasos a la fecha, no obstante, En el proceso de definición de los mecanismos de cobro para la siguiente etapa del programa Pico y Placa Solidario se han involucrado distintas entidades (Secretaría Distrital de Hacienda, Secretaría Distrital de Ambiente) y el Banco Interamericano de
Desarrollo a través de una cooperación técnica mediante el desarrollo de una encuesta. La articulación con estas entidades ha generado algunas demoras, que no han tenido un impacto directo en la fecha prevista de entrega del proyecto.</t>
  </si>
  <si>
    <t>Avance Meta PDD
Meta de tipo decreciente cuyo avance es de 23.55 con respecto al 23.55 esperado para la vigencia 2021. Las principales acciones adelantadas fueron:
Al corte de junio de 2021, ya se ha realizado la toma de informacion para la linea base en el primer grupo de estaciones definido dentro de la metodología establecida para este ejercicio (5 de 27); las estaciones son: Salitre - El Greco, Country Sur, Calle 63, Toberín, CDS - Carrera 32; asi mismo se avanzo
en la construccion de la metodologia para el calculo de la disminucion del tiempo de acceso al transporte publico.</t>
  </si>
  <si>
    <t>Avance Meta PDD
Meta de tipo decreciente cuyo avance es de 15.36 con respecto al 15.34 esperado para la vigencia 2021. Las principales acciones adelantadas fueron:
En junio se sensibilizaron 4.925 personas en el marco de acciones de prevención y control de la evasión del pago, con el apoyo de los gestores
Reactivación del Mobility Challenge con las Secretarías de Movilidad y Cultura, para desarrollar las propuestas de experimentos de cambio social frente a la evasión del pago.
Avances con concesionarios de operación de Fase III del Zonal para la implementación de las medidas anti-evasión.
Empalme con la nueva interventoría del componente zonal para el apoyo en el seguimiento a la implementación de los aditamentos anti-evasión.
Participación en las reuniones de revisión de la estructuración del proceso de cambio de puertas de las Estaciones del Sistema para ayudar a mitigar la evasión del pago
Aplicación de 41.830 comparendos por evasión, 32.431 por numeral 7 y 9.489 por numeral 12 del art. 146 del Código Nacional de Seguridad y Convivencia Ciudadana por parte de la Policía Nacional entre el 1° de enero y el 26 de junio de 2021.
Entre el 1 y el 13 de abril de 2021 se hicieron 52 talleres en los que se entregaron 331 certificados de conmutación de comparendos y cumplimiento de medidas correctivas
Entre el 1 y el 13 de abril de 2021 se hicieron 946intervenciones desde Pedagogía, en las que se sensibilizaron 3.965personas.</t>
  </si>
  <si>
    <t>Se medirá el cumplimiento al final de cada año. Mientras tanto, se va avanzando en la implementación del Plan Estratégico Anti ¿ Evasión en sus cuatro líneas de trabajo con las actividades descritas en el documento adjunto.
1. Prevención, Cultura Ciudadana, Incidencia y Corresponsabilidad.
2. Monitoreo y caracterización de la evasión
3. Fortalecimiento de la Infraestructura.
4. Fiscalización</t>
  </si>
  <si>
    <t>Avance Meta PDD
Meta de tipo constante cuyo avance es de 50% con respecto al 100% esperado para la vigencia 2021. Las principales acciones adelantadas fueron:
En estructuración del proyecto., En proceso de legalización de los contratos de consultoría e interventoría adjudicados por el IDU</t>
  </si>
  <si>
    <t>682 - Porcentaje de avance en la ejecución física de la construcción del proyecto Avenida 68 alimentadora de la PLMB</t>
  </si>
  <si>
    <t>Porcentaje de ejecucion física ejecutado</t>
  </si>
  <si>
    <t>683 - Porcentaje de avance en la ejecución física del proyecto de la extension del tramo 1 de la troncal de Transmilenio por la Avenida Caracas</t>
  </si>
  <si>
    <t>684 -Porcentaje de avance en la ejecución física del proyecto de la troncal de Transmilenio por la Avenida Ciudad de Cali</t>
  </si>
  <si>
    <t>IDU - Si bien es cierto la meta no presenta avance, se estan adelantando los siguientes proyectos
Extensión Troncal Caracas Tramo I - Molinos al portal Usme
El proyecto contempla la construcción de las obras de infraestructura para la movilidad requeridas para la adecuación de la Extensión Troncal Caracas en 4.2 km, desde el sector comprendido entre la actual estación Molinos y el Portal de Usme. Las obras contemplan la construcción de dos carriles
exclusivos para el Sistema Transmilenio entre otras, a la fecha se cuenta con un avance físico del 7.48% y se destacan actividades de ejecución de actividades del puente de la quebrada la chiguaza, instalación de mezcla asfáltica y sardineles.
TM Av. 68 Este proyecto consiste en la construcción para la adecuación al sistema transmilenio de la Av. Congreso Eucarístico (carrera 68) desde la carrera 9 hasta la autopista sur dividida en 9 grupos de obra, los cuales a la fecha en su gran mayoría realizan actividades de intervención de redes de servicios
públicos.
TM Av. Ciudad de Cali
Este proyecto consiste en la CONSTRUCCION PARA LA ADECUACION AL SISTEMA TRANSMILENIO DE LA TRONCAL AVENIDA CIUDAD DE CALI TRAMO 1 - ENTRE LA AVENIDA CIRCUNVALAR DEL SUR y LA AVENIDA MANUEL CEPEDA VARGAS dividida en 4 grupos de obra, los cuales a la
fecha se encuentran en etapa de preconstruccion.
TMSA - Meta de tipo constante cuyo avance es de 50% con respecto al 100% esperado para la vigencia 2021. Las principales acciones adelantadas fueron:
Extensión Troncal Caracas: Se encuentra en etapa de construcción desde el 12 de agosto de 2020.
- Troncal 68: Los nueve contratos se encuentran en etapa de construcción. Se adelantan las reuniones pertinentes con el IDU para evaluar al avance de cada uno de ellos en la etapa.
- Troncal Avenida Ciudad de Cali: Los cuatro contratos se encuentran en etapa de preconstrucción la cual va hasta el 31 de julio de 2021 , apropiación de diseños. Para todos los contratos se hace seguimiento permanente a todos los contratos de obra, a través de reuniones , comités, comunicaciones y el
comité IDU TMSA</t>
  </si>
  <si>
    <t>En lo corrido del Plan de desarrollo se han implementado 1591 ciclo parqueaderos tanto en vías como en los campamentos de las obras que se encuentran en ejecución, con lo cual se alcanza un 31,82% de cumplimiento de la meta Plan , dichos ciclo parqueaderos se encuentran ubicados así:
- ZONA ROSA (198)
- AV.ELRINCON KR91 AC131A D CR91 AV.CONEJE ( 104)
- AV.JOSÉ C.MUTIS DE AK. 70- AV.BOYACA (96)
- AV. TINTAL DE AV. V/CIO. A AV. BOSA.( 141)
- AV TINTAL DE AV M. CEP VARGAS A AV ALSAC (350)
- AV ALSACIA AV BOYACA Y CARRERA 71B (225)
- AV BOSA DESDE AV C CALI HAST AV TINTAL( 140)
-AV.EL RINCON DE AV.BOYACA A CRA.91 (50)
-PTE PEAT AV.LAUREANO GOMEZ AK9 X CLL112( 8)
-CALLE 116 ENTRE CRA. 7 Y AUTONORTE (20)
- AMPLIACIÓN ESTACIONES GP 2 (45)
- AV.L.GOMEZ AK9 D CL183 A CL193 ( 5)
- TM CARACAS TRAMO 1 (58)
- CANALES COMERCIALES ( 6)
- AV. 68 ALIMENTADORA LINEA METRO- GP 2 (15)
- AV. 68 ALIMENTADORA LINEA METRO - GP 4 (35)
- AV. 68 ALIMENTADORA LINEA METRO - GP 6 ( 30 )
- AV. 68 ALIMENTADORA LINEA METRO - GP 7 (12)
- Ampliación de estaciones TM - Emergencia ¿ Grupo I ( 16)
- Ampliación de estaciones TM - Emergencia ¿ Grupo II (16)
- CICLO PUENTE CANAL MOLINOS X AUTONORTE (11)
- PATIO LA REFORMA ( 10)</t>
  </si>
  <si>
    <t>tmsa - Avance Meta PDD
Meta de tipo constante cuyo avance es de 50% con respecto al 100% esperado para la vigencia 2021. Las principales acciones adelantadas fueron:
Gaco: contrato de factibilidad estudios y diseños programado: 80.7 ejecutado 74. Etapa de diseños de detalle 81.59 programado y ejecutado 68, lo anterior debido a que el cronograma se reajusto lo cual fue por la ampliación de los plazos.
Alameda: contrato de factibilidad estudios y diseños total programado: 93.25 ejecutado 90.
Etapa de diseños de detalle 100 programado ejecutado 93
San José. Quedó en pre-factibilidad y a la espera de una última alternativa que está por entregar y en espera respuesta de la oficina de instrumentos públicos para los predios falsa tradición
La Reforma: Inició la etapa de construcción del patio y trámite de licencia de construcción de edificaciones.
Carboquímica: Acompañamiento a los procesos con SDA para el proceso de remediación del predio. Se pretende formular alternativas que permitan remediar el predio en las condiciones exigidas por la SDA y con esto, el cierre de caso que permita su posterior utilización como infraestructura de soporte al
sistema integrado de transporte público. En estos momentos el proyecto se encuentra en cabeza del IDU.
IDU - 423 -  "Con corte a 30 de Junio de 2021 se ha construido 1 patio portal con lo cual presenta un avance del 50% frente a la meta del plan de desarrollo, dicha invercenion se realizo en el siguiente punto
PATIO PORTAL AMERICAS
PATIO PORTAL SUR
PATIO PORTAL TUNAL"
640 - "Con corte a 30 de Junio de 2021 se ha construido 1 patio portal con lo cual presenta un avance del 50% frente a la meta del plan de desarrollo, dicha invercenion se realizo en el siguiente punto
PATIO PORTAL AMERICAS
PATIO PORTAL SUR
PATIO PORTAL TUNAL"</t>
  </si>
  <si>
    <t>Se logró ejecutar las acciones complementarias con las demás subdirecciones enfocadas a mantener en 100% operando el sistema de semaforización inteligente, manteniendo las jornadas de gestión en vía e implementando señalización en algunos corredores prioritarios y se implementa acciones de gestión de la demanda para la ciudad, con esto se propendió por mantener la velocidad de operación de la ciudad, manteniendo los tiempo de viaje, sin descuidar la seguridad vial y mitigando los impactos de congestion en los corredores de mayor volumen de tránsito de la ciudad y de esta manera se brindó una óptima experiencia de viaje a los usuarios de los corredores.</t>
  </si>
  <si>
    <t>El mayor impacto es que las víctimas de siniestros viales del Distrito ya tienen un Centro de orientación en donde pueden tener orientación de tipo psicológica, jurídica y social para tener herramientas para adecuarse a sus nuevas condiciones de vida, lo cual redunda en la mejora de calidad de vida de las víctimas.</t>
  </si>
  <si>
    <t>La encuesta, las pruebas de las aplicaciones, la implementación de la medida de pico y placa para vehículos de alta ocupación, son componentes que contribuirán a la creación de medidas que tendrán como área de intervención, el Distrito Capital y la Región.
Con corte al 12 de junio, se tienen 1.048.001 registros de excepción al pico y placa por alta ocupación. 231.278 vehículos diferentes se han registrado en el portal dispuesto por la SDM. Cada vehículo registrado realiza 6 viajes en promedio a la semana con el permiso.</t>
  </si>
  <si>
    <t xml:space="preserve">Presencia institucional en portales, estaciones, paraderos y buses previniendo la evasión del pago y fomentando el buen uso del Sistema. 
Sensibilización sobre la importancia del pago del pasaje para usuarios del Sistema y ciudadanía en general.
Monitoreo de la evasión y búsqueda de soluciones tecnológicas para seguimiento en tiempo real del fenómeno.
Mediciones del impacto de las estrategias frente a la evasión del pago para mejorar focalización de recursos, puntos y acciones de intervención. 
Insumos y avance en la toma de decisiones gerenciales que permitan mitigar la evasión del pago a través de acciones de infraestructura de puertas y BCA’s.
Concesionarios del Componente Zonal y TRANSMILENIO S.A. trabajando juntos para minimizar la evasión de pago en el SITP. 
Fiscalización y sanción a evasores del pago para buscar no repetición del comportamiento. 
Abstención de conducta de evasión del pago gracias a acciones de disuasión de personal de vigilancia privada. </t>
  </si>
  <si>
    <t xml:space="preserve">La Avenida Carrera Séptima en términos de movilidad implantará sobre su sección transversal una infraestructura segura para los peatones a través de andenes amplios, una infraestructura bidireccional para los ciclistas generando conectividad con las demás ciclorrutas del sector, una infraestructura exclusiva para el transporte público sostenible donde se priorice el uso de tecnologías verdes y finalmente la infraestructura para el transporte privado. </t>
  </si>
  <si>
    <t xml:space="preserve"> El IDU desde el incio de las troncales ha  tenido un programa recurrente  de construcción y  mantenimiento de troncales  con el cual pretende  que el sistema se mantenga  y/0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 que con el tiempo se han hecho más importantes.
• Posibilidad de circulación en tráfico mixto en condiciones de contingencia o en condiciones normales de operación como es el caso de las conexiones operacionales de la Avenida Ciudad de Villavicencio y la conexión entre las troncales Américas y NQS
• Incorporación de flota biarticulada (buses de 250 pasajeros) para ampliar la capacidad en los corredores de mayor demanda</t>
  </si>
  <si>
    <t>Los cicloparqueaderos facilitan los desplazamientos en bicicleta y  en el marco de La Nueva Movilidad, infraestructura adicional, refuerza la seguridad y conexiones directas.
De igual manera, estas acciones permiten que los y las ciclistas cuenten con un lugar adecuado, seguro y cómodo para poder guardar su bicicleta, reduciendo la posibilidad del hurto y facilitando su movilidad en la ciudad. 
Otro beneficio importante es que se aumenta la calidad de vida de los ciudadanos dado que se incrementa la actividad física y contemplativa del paisaje urbano.</t>
  </si>
  <si>
    <t xml:space="preserve">Su ubicación es adecuada y conveniente para la operación del SITP zonal, dado que se encuentra cerca los puntos de inicio de ruta.
Gaco:Demanda flota : entre 161 y 251 padrón equivalente, demanda pasajeros: 80 (Año 2030)
No rutas: 16. 
Alameda: Demanda flota : entre 87 y 149 padrón equivalente , Demanda pasajeros: 165 (Año 2030)
No Rutas: 14.
San Jose: Infraestructura para patio y paradero
demanda de flota a atender: entre 162 y 279 padrón equivalente.
Con los proyectos para el diseño y construcción de patios troncales y zonales del Sistema, se busca contar con la infraestructura necesaria de modo que se garantice la adecuada y eficiente operación de la flota del Sistema, incluyendo su estacionamiento y mantenimiento. Lo anterior, con el fin de prestar un servicio de calidad en términos de seguridad y eficiencia, garantizando la calidad del servicio del SITP para todos los usuarios. </t>
  </si>
  <si>
    <t>Con este proyecto se busca, principalmente, mejorar el nivel de servicio de las estaciones del Sistema TransMilenio y se disminuya la congestión en horas pico. Así mismo, se mejora la capacidad instalada de la infraestructura de transporte masivo y soporte del SITP, buscando mejorar constantemente la calidad del transporte público para todos los usuarios del Sistema.</t>
  </si>
  <si>
    <t>Fortalececimiento de los procesos de planeación, gestión y operación del sistema de movilidad urbano – regional que han permitido impulsar la calidad de vida de los ciudadanos y la competitividad,  abarcando todos los modos de transporte y los diferentes tipos de logística y de carga para la ciudad. 
Se han logrado mitigar las externalidades negativas que genera el transporte de carga en Bogotá-Región.</t>
  </si>
  <si>
    <t>Con este proyecto se busca la implementacion de  la estacion de intercambio modal del SITP mas robusta que coincide con la Primera Linea del Metro de Bogotá, una eventual interaccion con el REGIOtram de Occidente y la interconexion y trasferencia de ciudadanos entre las diferentes troncales BRT que coinciden en el centro de la  ciudad, en suma de la integracion con el componente zonal del SITP, todas estas accioens enmarccadas en un proyecto de renovacion urbana detonado y catalizado pro el sistema de transporte publico</t>
  </si>
  <si>
    <t>Porcentaje de avance en la estructuración, implementación y operación del estacionamiento en vía para la ciudad de Bogotá</t>
  </si>
  <si>
    <t>Teniendo en cuenta la periodicidad de la meta, a la fecha no se presentan retrasos</t>
  </si>
  <si>
    <t>A junio de 2021, el indicador presenta un avance del 30%. Entre las principales acciones se encuentran:
1. Estructuración técnica: avance en la definición de zonas, tramos, cupos.
2. Estructuración financiera: avance en la modelación financiera del proyecto, definición de ingresos, egresos.
3. Estructuración legal: construcción de elementos jurídicos y ajustes normativos.
4. Gestión social: Visitas de reconocimiento a las zonas priorizadas, articulación con Centros Locales de Movilidad, identificación de factores de riesgo en el relacionamiento con comunidad, instrumentos de caracterización aprobados por SDM, contratación de equipo territorial de gestión social.
5. Estrategia de comunicaciones: definición de mensajes temporales, construcción del ABC del proyecto y diseño de contenidos.
De igual manera, desde la Terminal de Transporte se logró la definición final de tramos y zonas de la etapa inicial del proyecto, definición de instrumentos legales - borradores, la contratación  para la toma de información y diseños.</t>
  </si>
  <si>
    <t>266_Gestionar la implementación de un sistema de bicicletas públicas</t>
  </si>
  <si>
    <t xml:space="preserve">Número de jóvenes fallecidos por siniestros viales en jóvenes entre 14 y 28 años
</t>
  </si>
  <si>
    <t>En cuanto a la cifra de muertes de jóvenes por siniestros viales, se tiene un 9% de reducción de jóvenes (entre 14 y 28 años) fallecidos por siniestros viales, a 30 de junio del 2021 (fecha de consulta 01-07-2021) se han registrado 75 jóvenes (entre 14 y 28 años) víctimas fatales, frente a 82 jóvenes (entre
14 y 28 años) víctimas fatales a junio del año 2019.
Algunas de las acciones del Plan Distrital de Seguridad Vial (PDSV) 2017-2026 que se han realizado para lograr la disminución de fatalidades en accidentes de tránsito, son: actualización de 5 Lineamientos de Seguridad Vial (Planes de Manejo de Tránsito, Infraestructura para Peatones, Semaforización,
Rutas del Sistema Integrado de Transporte Público y Paraderos del Sistema Integrado de Transporte Público) y el seguimiento a la implementación de todos los lineamientos de Seguridad Vial, análisis de siniestralidad como insumo a las acciones en materia de control, comunicación, educación e
infraestructura; Gestión de preparación, planeación y realización de la Semana Internacional de Seguridad Vial de Naciones Unidas en la ciudad, con participación del Secretario de Movilidad en los eventos sobre víctimas, sobre velocidad de la Agencia Nacional de Seguridad Vial-ANSV y eventos
internacionales; a partir de los corredores priorizados por el IDU para el año 2021, se adelantó cruce de huecos reportados en junio que causan siniestralidad a motociclistas en estos corredores; realización de diferentes actividades programadas durante el ¿mes de prevención vial del motociclista¿; Gestión
de estrategia integral y acciones puntuales para mejora en movilidad de la Av. Calle 13, se realizaron las siguientes actividades: -Análisis y priorización de zonas escolares y tramos de calles comerciales para su posterior intervención y gestión en el marco del PGV; -Análisis y visita de campo a tres.</t>
  </si>
  <si>
    <t>Porcentaje de estructuración del proyecto de la Avenida Centenario entre la Crrera 50 y el límite del Distrito, como parte del borde occidental</t>
  </si>
  <si>
    <t>677_Porcentaje de estructuración del proyecto de la Avenida Centenario entre la Crrera 50 y el límite del Distrito, como parte del borde occidental</t>
  </si>
  <si>
    <t>680 - Número de cupos de cicloparquederos gestionados en infraestructura pública</t>
  </si>
  <si>
    <t>Número de cupos de cicloparquederos gestionados en infraestructura pública</t>
  </si>
  <si>
    <t>Porcentaje de avance de las acciones para aumentar el número de cupos de cicloparqueaderos en infraestructura privada</t>
  </si>
  <si>
    <t>681 - Porcentaje de avance de las acciones para aumentar el número de cupos de cicloparqueaderos en infraestructura privada</t>
  </si>
  <si>
    <t>Para la gestión de este indicador, se han adelantado las siguientes actividades:
1. Visitas realizadas a diversas entidades, con el fin de mejorar los cupos de cicloparqueaderos en sus sedes, y asesorar sobre nuevos cupos que se puedan implementar. Dichas visitas tienen como resultado, diagnósticos que se entregan a cada entidad. Dichas visitas fueron programadas a:
Alcaldía Local de Chapinero
Terminal de Transportes
ETB
Secretaría Distrital de Ambiente
Secretaría Distrital de Movilidad (Sede Paloquemao)
Grupo de Energía de Bogotá
Secretaría Distrital de Integración Social (Diferentes sedes)
Secretaría Distrital de Gobierno
Contraloría de Bogotá
Lotería de Bogotá
2. Se están realizando visitas a parques, plazas y plazoletas, para corroborar con cuantos cupos de cicloparqueaderos se cuenta para la ciudadanía y el estado actual de ellos. Dichas visitas se realizan con el fin de manejar una línea base y tener la información actualizada de la misma
3.De forma semestral, la Secretaría Distrital de Movilidad, se encuentra adelantando una encuesta, que determina el cumplimiento de la ley 1811 a nivel distrital. Dicha encuesta permite establecer la línea base con la que se cuenta a nivel distrital</t>
  </si>
  <si>
    <t>El indicador no presenta retrasos, sin embargo se listan a continuación situaciones dificualtades que se presentaron durante las diversas alteraciones de orden público que vivió la ciudad entre los meses de abril y mayo:
1. Cancelación de visitas técnicas que permitían concretar nuevos participantes para las gestiones de cupos en entidades públicas, lo que fortaleció la búsqueda de nuevas entidades, contactos y generación de reuniones de manera virtual.
2. Las rutas destinadas para parques y plazoletas se cancelaron, en prevalencia a la integridad física de los técnicos que realizan el recorrido. En este sentido la Secretaría Distrital de Movilidad incentivó las actividades pedagógicas, para la educación del ciclista.
avances 681 - Para dar cumplimiento al indicador 681, se han adelantado las siguientes gestiones:
1. Se ha realizado contacto con diversas empresas privadas, para dar a conocer el Plan Marshall, e incentivar a que conozcan el Acuerdo Distrital 780 de 2021 y el Decreto Reglamentario 091 de 2021, dichas empresas son: Decatlhon, Caracol Tv, Zona Cinco, Opain, Centro Comercial Avenida Chile,
Centro Comercial Gran Estación, Centro Comercial Plaza Claro, Centro Comercial unicentro, Terpel, Fenalco.
Se resalta que aquellas empresas que no se encuentran interesadas en el Plan Marshall, se direccionan hacia el Programa Sellos de Calidad, con el fin de no perder al contribuyente y guiarlo hacia su foco de interés.
2. Por parte de la Secretaría Distrital de Movilidad se convocó a una reunión, donde participarán los proveedores de inmobiliario para cicloparqueaderos, con el fin de darles a conocer el Plan marshall y que ello, a sus clientes mencionarán el beneficio y el descuento tributario que les otorga el distrito, al
implementar cicloparqueaderos entre el 1 de enero de 2021 y el 31 de diciembre de 2024. Dichas empresas fueron: Kryptonite, Dujo Sostenible, Diego Camargo, Yakuma Ingenieros, Andina parking de Colombia, CKT Global, Ipark Colombia, Frencher, Mejor en Bici, Bicycle Capital, Bicistema Arquitectura y
Urbanismo
3. Por parte del Comité Interinstitucional se han implementado estrategías de divulgación que permitan que más contribuyentes, conozcan sobre el Plan Mashall, sus beneficios y como inscribirse
retrasos 681 - El indicador no presenta retrasos, sin embargo se listan a continuación situaciones dificualtades que se presentaron durante las diversas alteraciones de orden público que vivió la ciudad entre los meses de abril y mayo:
1. Cancelación de visitas técnicas que permitian concretar nuevos participantes para las gestiones de cupos en empresas privadas, dichas manifestaciones permitierón concretar una base más amplia de posibles contribuyentes.</t>
  </si>
  <si>
    <t xml:space="preserve">Para dar cumplimiento al indicador 681, se han adelantado las siguientes gestiones:
1. Se ha realizado contacto con diversas empresas privadas, para dar a conocer el Plan Marshall, e incentivar a que conozcan el Acuerdo Distrital 780 de 2021 y el Decreto Reglamentario 091 de 2021, dichas empresas son: Decatlhon, Caracol Tv, Zona Cinco, Opain, Centro Comercial Avenida Chile,
Centro Comercial Gran Estación, Centro Comercial Plaza Claro, Centro Comercial unicentro, Terpel, Fenalco.
Se resalta que aquellas empresas que no se encuentran interesadas en el Plan Marshall, se direccionan hacia el Programa Sellos de Calidad, con el fin de no perder al contribuyente y guiarlo hacia su foco de interés.
2. Por parte de la Secretaría Distrital de Movilidad se convocó a una reunión, donde participarán los proveedores de inmobiliario para cicloparqueaderos, con el fin de darles a conocer el Plan marshall y que ello, a sus clientes mencionarán el beneficio y el descuento tributario que les otorga el distrito, al
implementar cicloparqueaderos entre el 1 de enero de 2021 y el 31 de diciembre de 2024. Dichas empresas fueron: Kryptonite, Dujo Sostenible, Diego Camargo, Yakuma Ingenieros, Andina parking de Colombia, CKT Global, Ipark Colombia, Frencher, Mejor en Bici, Bicycle Capital, Bicistema Arquitectura y
Urbanismo
3. Por parte del Comité Interinstitucional se han implementado estrategías de divulgación que permitan que más contribuyentes, conozcan sobre el Plan Mashall, sus beneficios y como inscribirse
retrasos </t>
  </si>
  <si>
    <t>El indicador no presenta retrasos, sin embargo se listan a continuación situaciones dificualtades que se presentaron durante las diversas alteraciones de orden público que vivió la ciudad entre los meses de abril y mayo:
1. Cancelación de visitas técnicas que permitian concretar nuevos participantes para las gestiones de cupos en empresas privadas, dichas manifestaciones permitierón concretar una base más amplia de posibles contribuyentes.</t>
  </si>
  <si>
    <t>La Línea 2 del Metro de Bogotá o Fase 2 de la PLMB, es un proyecto que ha sido conceptualizado para ofrecer nuevas alternativas de transporte especialmente a los habitantes de las localidades de Suba y Engativá, que se movilizan hacia el centro
ampliado de la ciudad. Se espera que este proyecto movilice en su año de entrada en operación cerca de 76 mil pasajeros en la hora pico y generando un ahorro de tiempo de promedio por pasajero de 16 minutos. Para el caso de los pasajeros que
viven al final de la línea en la localidad de Suba, tendrán un ahorro en sus tiempos de viaje del 30% en sus desplazamientos hacia el centro de la ciudad.
Así mismo, la construcción y operación de la Línea 2 del Metro de Bogotá contribuirá a mejorar y complementar la red de transporte público integrado de la ciudad; lo que se traduce en mayor facilidad para los usuarios de completar sus viajes y mayor
nivel de conexión entre modos de transporte integrados.</t>
  </si>
  <si>
    <t>En cuanto a los beneficios que traería la implementación del regiotram de occidente encontraremos mejoras contundentes en el mejoramiento de la experiencia de los tiempos de desplazamiento en la ciudad- región, a través de un sistema de
transporte masivo multimodal, regional, limpio y sostenible cuyo eje estructurador es la red de metro regional. La optimización de las condiciones productivas de los hogares, las industrias y la comunidad que incremente la productividad social y
económica en la generación de riqueza y poder distribuir equitativamente la prosperidad que de ella se derive, a través del logro de mayor pertinencia y calidad en la educación y el empleo, y la transformación de los patrones de consumo y de los hábitos
de vida. Específicamente, este proyecto se sustenta sobre la necesidad de integrar funcionalmente los corredores férreos con la estructura urbana de la ciudad, garantizando que estos ejes de transporte masivo sean ejes estructuradores y
articuladores del tejido urbano y socioeconómico de Bogotá. Para tal fin, se tiene previsto acciones e intervenciones de construcción y adecuación de espacio público y ciclo infraestructuras en el entorno de las estaciones y las líneas férreas de la ciudad,
así como las inversiones necesarias para garantizar la integración intermodal con los demás sistemas de transporte</t>
  </si>
  <si>
    <t>Aumentar la flota de transporte de cero y bajas emisiones se refleja en menor cantidad de material particulado y gases de efecto invernadero emitidos. Esto contribuirá en beneficios de salud pública para la ciudadanía.</t>
  </si>
  <si>
    <t>Establecer un nuevo esquema de ciudad mediante la promoción alternativas de micromovilidad en la ciudad, entendida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'última milla' que conecta a los viajeros a las paraderos o estaciones del transporte público, lo cual ayuda notoriamente a descongestionar el transporte público.</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</si>
  <si>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aportan en la reducción de los siniestros viales y el hurto de bicicletas al que están expuestos los ciclistas de la ciudad y brindan las condiciones físicas, culturales y socioeconómicos para que los ciclistas ejerzan su
derecho a disfrutar de la ciudad en Bicicleta.</t>
  </si>
  <si>
    <t>La implementación de las nuevas fuentes de fondeo permitirá garantizar la sostenibilidad financiera del SITP en el corto, mediano y largo plazo, y reformular las políticas orientadas a la implementación de las fuentes alternas de financiación con tarifas
preferenciales para algunos grupos poblacionales, promoviendo el acceso y disfrute igualitario y con calidad al sistema de movilidad de Bogotá, con un énfasis en la población económicamente vulnerable.</t>
  </si>
  <si>
    <t>Las actividades desarrolladas, contribuirán a que los hogares vulnerables económicamente mejoren sus ingresos y su calidad de vida, al tener acceso y disfrute igualitario y con calidad al sistema de movilidad de Bogotá, y por ende a las oportunidades
laborales, educativas y culturales que ofrece la ciudad.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</si>
</sst>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0.0%"/>
    <numFmt numFmtId="181" formatCode="_-* #,##0.00_-;\-* #,##0.00_-;_-* &quot;-&quot;_-;_-@_-"/>
    <numFmt numFmtId="182" formatCode="_-* #,##0.0_-;\-* #,##0.0_-;_-* &quot;-&quot;_-;_-@_-"/>
  </numFmts>
  <fonts count="23"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sz val="10"/>
      <color theme="0"/>
      <name val="Arial"/>
      <family val="2"/>
    </font>
    <font>
      <b/>
      <sz val="10"/>
      <name val="Arial"/>
      <family val="2"/>
    </font>
    <font>
      <sz val="10"/>
      <name val="Calibri"/>
      <family val="2"/>
    </font>
  </fonts>
  <fills count="11">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rgb="FFA4C539"/>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44">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297">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3" fillId="0" borderId="0" xfId="0" applyFont="1" applyAlignment="1">
      <alignment vertical="center" wrapText="1"/>
    </xf>
    <xf numFmtId="0" fontId="3" fillId="0" borderId="0" xfId="0" applyFont="1" applyAlignment="1">
      <alignment horizontal="center" vertical="center" wrapText="1"/>
    </xf>
    <xf numFmtId="0" fontId="21" fillId="5" borderId="2" xfId="0" applyFont="1" applyFill="1" applyBorder="1" applyAlignment="1" applyProtection="1">
      <alignment horizontal="center" vertical="center" wrapText="1"/>
    </xf>
    <xf numFmtId="0" fontId="21" fillId="0" borderId="0" xfId="0" applyFont="1" applyAlignment="1">
      <alignment vertical="center" wrapText="1"/>
    </xf>
    <xf numFmtId="0" fontId="3" fillId="7" borderId="0" xfId="0" applyFont="1" applyFill="1" applyAlignment="1">
      <alignmen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1" fillId="0" borderId="0" xfId="0" applyFont="1" applyFill="1" applyBorder="1" applyAlignment="1" applyProtection="1">
      <alignment horizontal="center" vertical="center" wrapText="1"/>
      <protection locked="0"/>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1" fillId="7" borderId="0" xfId="0" applyFont="1" applyFill="1" applyBorder="1" applyAlignment="1">
      <alignment horizontal="center" vertical="center" wrapText="1"/>
    </xf>
    <xf numFmtId="0" fontId="3" fillId="7" borderId="0" xfId="0" applyFont="1" applyFill="1" applyBorder="1" applyAlignment="1">
      <alignment vertical="center" wrapText="1"/>
    </xf>
    <xf numFmtId="0" fontId="3" fillId="0" borderId="0" xfId="0" applyFont="1" applyAlignment="1">
      <alignment horizontal="justify" vertical="center" wrapText="1"/>
    </xf>
    <xf numFmtId="0" fontId="21" fillId="5" borderId="2" xfId="0" applyFont="1" applyFill="1" applyBorder="1" applyAlignment="1" applyProtection="1">
      <alignment horizontal="justify" vertical="center" wrapText="1"/>
      <protection locked="0"/>
    </xf>
    <xf numFmtId="0" fontId="3" fillId="0" borderId="0" xfId="0" applyFont="1" applyFill="1" applyBorder="1" applyAlignment="1">
      <alignment horizontal="justify" vertical="center" wrapText="1"/>
    </xf>
    <xf numFmtId="0" fontId="21" fillId="5" borderId="2"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protection locked="0"/>
    </xf>
    <xf numFmtId="0" fontId="21" fillId="5" borderId="2" xfId="0" applyFont="1" applyFill="1" applyBorder="1" applyAlignment="1" applyProtection="1">
      <alignment horizontal="justify" vertical="center" wrapText="1"/>
    </xf>
    <xf numFmtId="0" fontId="3" fillId="0" borderId="0" xfId="0" applyFont="1" applyAlignment="1">
      <alignment horizontal="right" vertical="center" wrapText="1"/>
    </xf>
    <xf numFmtId="0" fontId="21" fillId="5" borderId="2" xfId="0" applyFont="1" applyFill="1" applyBorder="1" applyAlignment="1" applyProtection="1">
      <alignment horizontal="right" vertical="center" wrapText="1"/>
      <protection locked="0"/>
    </xf>
    <xf numFmtId="0" fontId="21" fillId="5" borderId="2" xfId="0" applyFont="1" applyFill="1" applyBorder="1" applyAlignment="1">
      <alignment horizontal="right" vertical="center" wrapText="1"/>
    </xf>
    <xf numFmtId="2" fontId="3" fillId="0" borderId="2" xfId="0" applyNumberFormat="1" applyFont="1" applyBorder="1" applyAlignment="1">
      <alignment horizontal="right" vertical="center" wrapText="1"/>
    </xf>
    <xf numFmtId="0" fontId="3" fillId="0" borderId="0" xfId="0" applyFont="1" applyFill="1" applyBorder="1" applyAlignment="1">
      <alignment horizontal="center" vertical="center"/>
    </xf>
    <xf numFmtId="0" fontId="21" fillId="5" borderId="2"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21" fillId="5" borderId="2" xfId="0" applyFont="1" applyFill="1" applyBorder="1" applyAlignment="1" applyProtection="1">
      <alignment horizontal="left" vertical="center" wrapText="1"/>
      <protection locked="0"/>
    </xf>
    <xf numFmtId="0" fontId="21" fillId="5" borderId="8" xfId="0" applyFont="1" applyFill="1" applyBorder="1" applyAlignment="1">
      <alignment horizontal="center" vertical="center" wrapText="1"/>
    </xf>
    <xf numFmtId="42" fontId="3" fillId="0" borderId="0" xfId="113" applyFont="1" applyAlignment="1">
      <alignment vertical="center" wrapText="1"/>
    </xf>
    <xf numFmtId="42" fontId="21" fillId="5" borderId="2" xfId="113" applyFont="1" applyFill="1" applyBorder="1" applyAlignment="1" applyProtection="1">
      <alignment horizontal="center" vertical="center" wrapText="1"/>
      <protection locked="0"/>
    </xf>
    <xf numFmtId="42" fontId="21" fillId="0" borderId="0" xfId="113" applyFont="1" applyFill="1" applyBorder="1" applyAlignment="1">
      <alignment horizontal="justify" vertical="center" wrapText="1"/>
    </xf>
    <xf numFmtId="42" fontId="3" fillId="0" borderId="0" xfId="113" applyFont="1" applyFill="1" applyBorder="1" applyAlignment="1">
      <alignment vertical="center" wrapText="1"/>
    </xf>
    <xf numFmtId="9" fontId="3" fillId="0" borderId="0" xfId="99" applyFont="1" applyAlignment="1">
      <alignment vertical="center" wrapText="1"/>
    </xf>
    <xf numFmtId="9" fontId="21" fillId="0" borderId="0" xfId="99" applyFont="1" applyFill="1" applyBorder="1" applyAlignment="1">
      <alignment horizontal="center" vertical="center" wrapText="1"/>
    </xf>
    <xf numFmtId="9" fontId="3" fillId="0" borderId="0" xfId="99" applyFont="1" applyFill="1" applyBorder="1" applyAlignment="1">
      <alignment vertical="center" wrapText="1"/>
    </xf>
    <xf numFmtId="0" fontId="21" fillId="0" borderId="0" xfId="0" applyFont="1" applyAlignment="1">
      <alignment horizontal="center" vertical="center" wrapText="1"/>
    </xf>
    <xf numFmtId="0" fontId="22" fillId="0" borderId="8" xfId="0" applyFont="1" applyBorder="1" applyAlignment="1">
      <alignment horizontal="center" vertical="center" wrapText="1"/>
    </xf>
    <xf numFmtId="0" fontId="21" fillId="0" borderId="0" xfId="0" applyFont="1" applyFill="1" applyBorder="1" applyAlignment="1" applyProtection="1">
      <alignment horizontal="justify" vertical="center" wrapText="1"/>
      <protection locked="0"/>
    </xf>
    <xf numFmtId="0" fontId="3" fillId="7" borderId="3" xfId="0" applyFont="1" applyFill="1" applyBorder="1" applyAlignment="1" applyProtection="1">
      <alignment horizontal="left" vertical="center" wrapText="1"/>
      <protection locked="0"/>
    </xf>
    <xf numFmtId="0" fontId="21" fillId="5" borderId="2" xfId="0" applyFont="1" applyFill="1" applyBorder="1" applyAlignment="1" applyProtection="1">
      <alignment horizontal="left" vertical="center" wrapText="1"/>
    </xf>
    <xf numFmtId="0" fontId="21" fillId="5" borderId="2" xfId="0" applyFont="1" applyFill="1" applyBorder="1" applyAlignment="1">
      <alignment horizontal="left" vertical="center" wrapText="1"/>
    </xf>
    <xf numFmtId="0" fontId="22" fillId="0" borderId="2" xfId="0" applyFont="1" applyBorder="1" applyAlignment="1">
      <alignment horizontal="left" vertical="center" wrapText="1"/>
    </xf>
    <xf numFmtId="2" fontId="3" fillId="7" borderId="2" xfId="0" applyNumberFormat="1" applyFont="1" applyFill="1" applyBorder="1" applyAlignment="1" applyProtection="1">
      <alignment horizontal="right" vertical="center" wrapText="1"/>
      <protection locked="0"/>
    </xf>
    <xf numFmtId="0" fontId="3" fillId="7" borderId="2" xfId="0" applyFont="1" applyFill="1" applyBorder="1" applyAlignment="1" applyProtection="1">
      <alignment horizontal="right" vertical="center" wrapText="1"/>
      <protection locked="0"/>
    </xf>
    <xf numFmtId="9" fontId="3" fillId="7" borderId="2" xfId="99" applyFont="1" applyFill="1" applyBorder="1" applyAlignment="1" applyProtection="1">
      <alignment horizontal="center" vertical="center" wrapText="1"/>
      <protection locked="0"/>
    </xf>
    <xf numFmtId="0" fontId="3" fillId="7" borderId="2" xfId="0" applyFont="1" applyFill="1" applyBorder="1" applyAlignment="1" applyProtection="1">
      <alignment horizontal="justify" vertical="center" wrapText="1"/>
      <protection locked="0"/>
    </xf>
    <xf numFmtId="0" fontId="3" fillId="7" borderId="0" xfId="0" applyFont="1" applyFill="1" applyAlignment="1">
      <alignment vertical="top" wrapText="1"/>
    </xf>
    <xf numFmtId="42" fontId="3" fillId="7" borderId="2" xfId="113" applyFont="1" applyFill="1" applyBorder="1" applyAlignment="1" applyProtection="1">
      <alignment horizontal="right" vertical="center" wrapText="1"/>
      <protection locked="0"/>
    </xf>
    <xf numFmtId="46" fontId="3" fillId="7" borderId="5" xfId="0" applyNumberFormat="1" applyFont="1" applyFill="1" applyBorder="1" applyAlignment="1" applyProtection="1">
      <alignment horizontal="justify" vertical="center" wrapText="1"/>
    </xf>
    <xf numFmtId="9" fontId="3" fillId="7" borderId="0" xfId="99" applyFont="1" applyFill="1" applyBorder="1" applyAlignment="1">
      <alignment vertical="center" wrapText="1"/>
    </xf>
    <xf numFmtId="0" fontId="3" fillId="7" borderId="0" xfId="0" applyFont="1" applyFill="1" applyBorder="1" applyAlignment="1">
      <alignment horizontal="center" vertical="center" wrapText="1"/>
    </xf>
    <xf numFmtId="0" fontId="3" fillId="7" borderId="0" xfId="0" applyFont="1" applyFill="1" applyBorder="1" applyAlignment="1">
      <alignment horizontal="justify" vertical="center" wrapText="1"/>
    </xf>
    <xf numFmtId="42" fontId="3" fillId="7" borderId="0" xfId="113" applyFont="1" applyFill="1" applyBorder="1" applyAlignment="1">
      <alignment vertical="center" wrapText="1"/>
    </xf>
    <xf numFmtId="0" fontId="22" fillId="7" borderId="2" xfId="0" applyFont="1" applyFill="1" applyBorder="1" applyAlignment="1">
      <alignment horizontal="left" vertical="center" wrapText="1"/>
    </xf>
    <xf numFmtId="0" fontId="22" fillId="7" borderId="8" xfId="0" applyFont="1" applyFill="1" applyBorder="1" applyAlignment="1">
      <alignment horizontal="center" vertical="center" wrapText="1"/>
    </xf>
    <xf numFmtId="9" fontId="3" fillId="0" borderId="0" xfId="99" applyFont="1" applyAlignment="1">
      <alignment horizontal="right" vertical="center" wrapText="1"/>
    </xf>
    <xf numFmtId="41" fontId="3" fillId="0" borderId="0" xfId="112" applyFont="1" applyFill="1" applyBorder="1" applyAlignment="1">
      <alignment vertical="center" wrapText="1"/>
    </xf>
    <xf numFmtId="181" fontId="3" fillId="0" borderId="0" xfId="112" applyNumberFormat="1" applyFont="1" applyFill="1" applyBorder="1" applyAlignment="1">
      <alignment vertical="center" wrapText="1"/>
    </xf>
    <xf numFmtId="41" fontId="3" fillId="0" borderId="0" xfId="0" applyNumberFormat="1" applyFont="1" applyFill="1" applyBorder="1" applyAlignment="1">
      <alignment vertical="center" wrapText="1"/>
    </xf>
    <xf numFmtId="181" fontId="3" fillId="0" borderId="0" xfId="0" applyNumberFormat="1" applyFont="1" applyFill="1" applyBorder="1" applyAlignment="1">
      <alignment vertical="center" wrapText="1"/>
    </xf>
    <xf numFmtId="0" fontId="3" fillId="7" borderId="3" xfId="0" applyFont="1" applyFill="1" applyBorder="1" applyAlignment="1" applyProtection="1">
      <alignment horizontal="justify" vertical="center" wrapText="1"/>
    </xf>
    <xf numFmtId="0" fontId="3" fillId="7" borderId="5" xfId="0" applyFont="1" applyFill="1" applyBorder="1" applyAlignment="1" applyProtection="1">
      <alignment horizontal="justify" vertical="center" wrapText="1"/>
    </xf>
    <xf numFmtId="0" fontId="3" fillId="7" borderId="5" xfId="0" applyFont="1" applyFill="1" applyBorder="1" applyAlignment="1" applyProtection="1">
      <alignment horizontal="left" vertical="center" wrapText="1"/>
    </xf>
    <xf numFmtId="42" fontId="21" fillId="5" borderId="3" xfId="113" applyFont="1" applyFill="1" applyBorder="1" applyAlignment="1" applyProtection="1">
      <alignment horizontal="center" vertical="center" wrapText="1"/>
      <protection locked="0"/>
    </xf>
    <xf numFmtId="4" fontId="21" fillId="7" borderId="2" xfId="142" applyNumberFormat="1" applyFont="1" applyFill="1" applyBorder="1" applyAlignment="1">
      <alignment horizontal="center" vertical="center" wrapText="1"/>
    </xf>
    <xf numFmtId="4" fontId="3" fillId="7" borderId="3" xfId="142" applyNumberFormat="1" applyFont="1" applyFill="1" applyBorder="1" applyAlignment="1" applyProtection="1">
      <alignment horizontal="right" vertical="center" wrapText="1"/>
      <protection locked="0"/>
    </xf>
    <xf numFmtId="3" fontId="3" fillId="7" borderId="2" xfId="142" applyNumberFormat="1" applyFont="1" applyFill="1" applyBorder="1" applyAlignment="1" applyProtection="1">
      <alignment horizontal="center" vertical="center"/>
      <protection locked="0"/>
    </xf>
    <xf numFmtId="2" fontId="3" fillId="0" borderId="2" xfId="0" applyNumberFormat="1" applyFont="1" applyBorder="1" applyAlignment="1">
      <alignment horizontal="right" vertical="center" wrapText="1"/>
    </xf>
    <xf numFmtId="41" fontId="3" fillId="0" borderId="2" xfId="112" applyFont="1" applyBorder="1" applyAlignment="1">
      <alignment horizontal="right" vertical="center" wrapText="1"/>
    </xf>
    <xf numFmtId="0" fontId="3" fillId="7" borderId="5" xfId="0" applyFont="1" applyFill="1" applyBorder="1" applyAlignment="1" applyProtection="1">
      <alignment horizontal="justify" vertical="center" wrapText="1"/>
    </xf>
    <xf numFmtId="0" fontId="3" fillId="7" borderId="5" xfId="0" applyFont="1" applyFill="1" applyBorder="1" applyAlignment="1" applyProtection="1">
      <alignment horizontal="left" vertical="center" wrapText="1"/>
    </xf>
    <xf numFmtId="42" fontId="3" fillId="9" borderId="2" xfId="113" applyFont="1" applyFill="1" applyBorder="1" applyAlignment="1" applyProtection="1">
      <alignment horizontal="right" vertical="center" wrapText="1"/>
      <protection locked="0"/>
    </xf>
    <xf numFmtId="42" fontId="3" fillId="10" borderId="2" xfId="113" applyFont="1" applyFill="1" applyBorder="1" applyAlignment="1" applyProtection="1">
      <alignment horizontal="center" vertical="center" wrapText="1"/>
      <protection locked="0"/>
    </xf>
    <xf numFmtId="42" fontId="3" fillId="10" borderId="2" xfId="113" applyFont="1" applyFill="1" applyBorder="1" applyAlignment="1">
      <alignment vertical="center"/>
    </xf>
    <xf numFmtId="42" fontId="3" fillId="10" borderId="2" xfId="113" applyFont="1" applyFill="1" applyBorder="1" applyAlignment="1" applyProtection="1">
      <alignment horizontal="right" vertical="center" wrapText="1"/>
      <protection locked="0"/>
    </xf>
    <xf numFmtId="42" fontId="3" fillId="10" borderId="2" xfId="113" applyFont="1" applyFill="1" applyBorder="1" applyAlignment="1" applyProtection="1">
      <alignment vertical="center" wrapText="1"/>
      <protection locked="0"/>
    </xf>
    <xf numFmtId="42" fontId="3" fillId="10" borderId="8" xfId="113" applyFont="1" applyFill="1" applyBorder="1" applyAlignment="1" applyProtection="1">
      <alignment vertical="center" wrapText="1"/>
      <protection locked="0"/>
    </xf>
    <xf numFmtId="42" fontId="3" fillId="10" borderId="8" xfId="113" applyFont="1" applyFill="1" applyBorder="1" applyAlignment="1" applyProtection="1">
      <alignment horizontal="right" vertical="center" wrapText="1"/>
      <protection locked="0"/>
    </xf>
    <xf numFmtId="42" fontId="3" fillId="7" borderId="2" xfId="143" applyFont="1" applyFill="1" applyBorder="1" applyAlignment="1" applyProtection="1">
      <alignment horizontal="right" vertical="center" wrapText="1"/>
      <protection locked="0"/>
    </xf>
    <xf numFmtId="4" fontId="3" fillId="7" borderId="8" xfId="0" applyNumberFormat="1" applyFont="1" applyFill="1" applyBorder="1" applyAlignment="1" applyProtection="1">
      <alignment horizontal="center" vertical="center" wrapText="1"/>
      <protection locked="0"/>
    </xf>
    <xf numFmtId="4" fontId="3" fillId="7" borderId="9" xfId="0" applyNumberFormat="1" applyFont="1" applyFill="1" applyBorder="1" applyAlignment="1" applyProtection="1">
      <alignment horizontal="center" vertical="center" wrapText="1"/>
      <protection locked="0"/>
    </xf>
    <xf numFmtId="4" fontId="3" fillId="7" borderId="10" xfId="0" applyNumberFormat="1" applyFont="1" applyFill="1" applyBorder="1" applyAlignment="1" applyProtection="1">
      <alignment horizontal="center" vertical="center" wrapText="1"/>
      <protection locked="0"/>
    </xf>
    <xf numFmtId="3" fontId="3" fillId="7" borderId="8" xfId="0" applyNumberFormat="1" applyFont="1" applyFill="1" applyBorder="1" applyAlignment="1" applyProtection="1">
      <alignment horizontal="center" vertical="center" wrapText="1"/>
      <protection locked="0"/>
    </xf>
    <xf numFmtId="3" fontId="3" fillId="7" borderId="9" xfId="0" applyNumberFormat="1" applyFont="1" applyFill="1" applyBorder="1" applyAlignment="1" applyProtection="1">
      <alignment horizontal="center" vertical="center" wrapText="1"/>
      <protection locked="0"/>
    </xf>
    <xf numFmtId="3" fontId="3" fillId="7" borderId="10" xfId="0" applyNumberFormat="1" applyFont="1" applyFill="1" applyBorder="1" applyAlignment="1" applyProtection="1">
      <alignment horizontal="center" vertical="center" wrapText="1"/>
      <protection locked="0"/>
    </xf>
    <xf numFmtId="0" fontId="3" fillId="7" borderId="2" xfId="0" applyFont="1" applyFill="1" applyBorder="1" applyAlignment="1">
      <alignment horizontal="right" vertical="center" wrapText="1"/>
    </xf>
    <xf numFmtId="0" fontId="3" fillId="7" borderId="3" xfId="0" applyFont="1" applyFill="1" applyBorder="1" applyAlignment="1" applyProtection="1">
      <alignment horizontal="justify" vertical="center" wrapText="1"/>
      <protection locked="0"/>
    </xf>
    <xf numFmtId="0" fontId="3" fillId="7" borderId="3" xfId="0" applyFont="1" applyFill="1" applyBorder="1" applyAlignment="1" applyProtection="1">
      <alignment horizontal="justify" vertical="center" wrapText="1"/>
    </xf>
    <xf numFmtId="0" fontId="3" fillId="7" borderId="5" xfId="0" applyFont="1" applyFill="1" applyBorder="1" applyAlignment="1" applyProtection="1">
      <alignment horizontal="justify" vertical="center" wrapText="1"/>
    </xf>
    <xf numFmtId="0" fontId="3" fillId="7" borderId="3" xfId="0" applyFont="1" applyFill="1" applyBorder="1" applyAlignment="1" applyProtection="1">
      <alignment horizontal="left" vertical="center" wrapText="1"/>
    </xf>
    <xf numFmtId="0" fontId="3" fillId="7" borderId="5" xfId="0" applyFont="1" applyFill="1" applyBorder="1" applyAlignment="1" applyProtection="1">
      <alignment horizontal="left" vertical="center" wrapText="1"/>
    </xf>
    <xf numFmtId="42" fontId="3" fillId="9" borderId="2" xfId="113" applyFont="1" applyFill="1" applyBorder="1" applyAlignment="1">
      <alignment vertical="center"/>
    </xf>
    <xf numFmtId="42" fontId="3" fillId="9" borderId="8" xfId="113" applyFont="1" applyFill="1" applyBorder="1" applyAlignment="1" applyProtection="1">
      <alignment horizontal="right" vertical="center" wrapText="1"/>
      <protection locked="0"/>
    </xf>
    <xf numFmtId="0" fontId="3" fillId="7" borderId="4" xfId="0" applyFont="1" applyFill="1" applyBorder="1" applyAlignment="1" applyProtection="1">
      <alignment horizontal="left" vertical="center" wrapText="1"/>
    </xf>
    <xf numFmtId="0" fontId="3" fillId="7" borderId="3" xfId="0" applyFont="1" applyFill="1" applyBorder="1" applyAlignment="1" applyProtection="1">
      <alignment horizontal="justify" vertical="center" wrapText="1"/>
      <protection locked="0"/>
    </xf>
    <xf numFmtId="0" fontId="3" fillId="7" borderId="3" xfId="0" applyFont="1" applyFill="1" applyBorder="1" applyAlignment="1" applyProtection="1">
      <alignment vertical="center" wrapText="1"/>
    </xf>
    <xf numFmtId="0" fontId="3" fillId="7" borderId="4" xfId="0" applyFont="1" applyFill="1" applyBorder="1" applyAlignment="1" applyProtection="1">
      <alignment vertical="center" wrapText="1"/>
    </xf>
    <xf numFmtId="0" fontId="3" fillId="7" borderId="5" xfId="0" applyFont="1" applyFill="1" applyBorder="1" applyAlignment="1" applyProtection="1">
      <alignment vertical="center" wrapText="1"/>
    </xf>
    <xf numFmtId="4" fontId="21" fillId="7" borderId="3" xfId="142" applyNumberFormat="1"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4" fontId="3" fillId="7" borderId="2" xfId="142" applyNumberFormat="1" applyFont="1" applyFill="1" applyBorder="1" applyAlignment="1" applyProtection="1">
      <alignment vertical="center"/>
      <protection locked="0"/>
    </xf>
    <xf numFmtId="4" fontId="3" fillId="7" borderId="2" xfId="0" applyNumberFormat="1" applyFont="1" applyFill="1" applyBorder="1" applyAlignment="1" applyProtection="1">
      <alignment vertical="center" wrapText="1"/>
      <protection locked="0"/>
    </xf>
    <xf numFmtId="42" fontId="21" fillId="5" borderId="15" xfId="113" applyFont="1" applyFill="1" applyBorder="1" applyAlignment="1" applyProtection="1">
      <alignment horizontal="center" vertical="center" wrapText="1"/>
      <protection locked="0"/>
    </xf>
    <xf numFmtId="0" fontId="3" fillId="0" borderId="0" xfId="0" applyFont="1" applyBorder="1" applyAlignment="1">
      <alignment vertical="center" wrapText="1"/>
    </xf>
    <xf numFmtId="0" fontId="20" fillId="0" borderId="0" xfId="0" applyFont="1" applyBorder="1" applyAlignment="1">
      <alignment vertical="center" wrapText="1"/>
    </xf>
    <xf numFmtId="0" fontId="21" fillId="0" borderId="0" xfId="0" applyFont="1" applyBorder="1" applyAlignment="1">
      <alignment vertical="center" wrapText="1"/>
    </xf>
    <xf numFmtId="0" fontId="3" fillId="7" borderId="0" xfId="0" applyFont="1" applyFill="1" applyBorder="1" applyAlignment="1">
      <alignment vertical="top" wrapText="1"/>
    </xf>
    <xf numFmtId="0" fontId="3" fillId="7" borderId="0" xfId="0" applyFont="1" applyFill="1" applyBorder="1" applyAlignment="1" applyProtection="1">
      <alignment horizontal="center" vertical="center" wrapText="1"/>
      <protection locked="0"/>
    </xf>
    <xf numFmtId="9" fontId="3" fillId="7" borderId="0" xfId="99" applyFont="1" applyFill="1" applyBorder="1" applyAlignment="1" applyProtection="1">
      <alignment horizontal="center" vertical="center" wrapText="1"/>
      <protection locked="0"/>
    </xf>
    <xf numFmtId="3" fontId="3" fillId="7" borderId="8" xfId="0" applyNumberFormat="1" applyFont="1" applyFill="1" applyBorder="1" applyAlignment="1" applyProtection="1">
      <alignment vertical="center" wrapText="1"/>
      <protection locked="0"/>
    </xf>
    <xf numFmtId="42" fontId="3" fillId="7" borderId="8" xfId="113" applyFont="1" applyFill="1" applyBorder="1" applyAlignment="1" applyProtection="1">
      <alignment horizontal="right" vertical="center" wrapText="1"/>
      <protection locked="0"/>
    </xf>
    <xf numFmtId="3" fontId="3" fillId="7" borderId="2" xfId="0" applyNumberFormat="1" applyFont="1" applyFill="1" applyBorder="1" applyAlignment="1" applyProtection="1">
      <alignment horizontal="center" vertical="center" wrapText="1"/>
      <protection locked="0"/>
    </xf>
    <xf numFmtId="41" fontId="3" fillId="7" borderId="2" xfId="142" applyFont="1" applyFill="1" applyBorder="1" applyAlignment="1" applyProtection="1">
      <alignment horizontal="right" vertical="center" wrapText="1"/>
      <protection locked="0"/>
    </xf>
    <xf numFmtId="4" fontId="3" fillId="7" borderId="2" xfId="0" applyNumberFormat="1" applyFont="1" applyFill="1" applyBorder="1" applyAlignment="1" applyProtection="1">
      <alignment horizontal="right" vertical="center" wrapText="1"/>
      <protection locked="0"/>
    </xf>
    <xf numFmtId="10" fontId="3" fillId="7" borderId="2" xfId="99" applyNumberFormat="1" applyFont="1" applyFill="1" applyBorder="1" applyAlignment="1" applyProtection="1">
      <alignment horizontal="center" vertical="center" wrapText="1"/>
      <protection locked="0"/>
    </xf>
    <xf numFmtId="4" fontId="3" fillId="7" borderId="2" xfId="142" applyNumberFormat="1" applyFont="1" applyFill="1" applyBorder="1" applyAlignment="1" applyProtection="1">
      <alignment horizontal="center" vertical="center"/>
      <protection locked="0"/>
    </xf>
    <xf numFmtId="10" fontId="3" fillId="7" borderId="2" xfId="99" applyNumberFormat="1" applyFont="1" applyFill="1" applyBorder="1" applyAlignment="1" applyProtection="1">
      <alignment horizontal="center" vertical="center"/>
      <protection locked="0"/>
    </xf>
    <xf numFmtId="4" fontId="3" fillId="7" borderId="2" xfId="142" applyNumberFormat="1" applyFont="1" applyFill="1" applyBorder="1" applyAlignment="1" applyProtection="1">
      <alignment horizontal="right" vertical="center" wrapText="1"/>
      <protection locked="0"/>
    </xf>
    <xf numFmtId="2" fontId="3" fillId="0" borderId="0" xfId="0" applyNumberFormat="1" applyFont="1" applyAlignment="1">
      <alignment horizontal="center" vertical="center" wrapText="1"/>
    </xf>
    <xf numFmtId="181" fontId="3" fillId="7" borderId="2" xfId="112" applyNumberFormat="1" applyFont="1" applyFill="1" applyBorder="1" applyAlignment="1" applyProtection="1">
      <alignment horizontal="right" vertical="center" wrapText="1"/>
      <protection locked="0"/>
    </xf>
    <xf numFmtId="0" fontId="3" fillId="7" borderId="2" xfId="0" applyFont="1" applyFill="1" applyBorder="1" applyAlignment="1" applyProtection="1">
      <alignment horizontal="left" vertical="center" wrapText="1"/>
    </xf>
    <xf numFmtId="0" fontId="3" fillId="7" borderId="2" xfId="0" applyFont="1" applyFill="1" applyBorder="1" applyAlignment="1" applyProtection="1">
      <alignment horizontal="justify" vertical="center" wrapText="1"/>
    </xf>
    <xf numFmtId="0" fontId="3" fillId="7" borderId="2" xfId="0" applyFont="1" applyFill="1" applyBorder="1" applyAlignment="1" applyProtection="1">
      <alignment horizontal="left" vertical="center" wrapText="1"/>
      <protection locked="0"/>
    </xf>
    <xf numFmtId="4" fontId="21" fillId="7" borderId="2" xfId="112" applyNumberFormat="1" applyFont="1" applyFill="1" applyBorder="1" applyAlignment="1" applyProtection="1">
      <alignment horizontal="center" vertical="center" wrapText="1"/>
      <protection locked="0"/>
    </xf>
    <xf numFmtId="4" fontId="3" fillId="7" borderId="2" xfId="112" applyNumberFormat="1" applyFont="1" applyFill="1" applyBorder="1" applyAlignment="1" applyProtection="1">
      <alignment horizontal="right" vertical="center" wrapText="1"/>
      <protection locked="0"/>
    </xf>
    <xf numFmtId="4" fontId="3" fillId="7" borderId="5" xfId="112" applyNumberFormat="1" applyFont="1" applyFill="1" applyBorder="1" applyAlignment="1" applyProtection="1">
      <alignment horizontal="right" vertical="center" wrapText="1"/>
      <protection locked="0"/>
    </xf>
    <xf numFmtId="0" fontId="3" fillId="7" borderId="8" xfId="0" applyFont="1" applyFill="1" applyBorder="1" applyAlignment="1" applyProtection="1">
      <alignment vertical="center"/>
      <protection locked="0"/>
    </xf>
    <xf numFmtId="10" fontId="3" fillId="7" borderId="2" xfId="99" applyNumberFormat="1" applyFont="1" applyFill="1" applyBorder="1" applyAlignment="1" applyProtection="1">
      <alignment vertical="center"/>
      <protection locked="0"/>
    </xf>
    <xf numFmtId="42" fontId="3" fillId="7" borderId="0" xfId="143" applyFont="1" applyFill="1" applyBorder="1" applyAlignment="1" applyProtection="1">
      <alignment horizontal="right" vertical="center" wrapText="1"/>
      <protection locked="0"/>
    </xf>
    <xf numFmtId="4" fontId="21" fillId="7" borderId="2" xfId="142" applyNumberFormat="1" applyFont="1" applyFill="1" applyBorder="1" applyAlignment="1" applyProtection="1">
      <alignment horizontal="center" vertical="center" wrapText="1"/>
      <protection locked="0"/>
    </xf>
    <xf numFmtId="180" fontId="3" fillId="7" borderId="2" xfId="99" applyNumberFormat="1" applyFont="1" applyFill="1" applyBorder="1" applyAlignment="1" applyProtection="1">
      <alignment horizontal="center" vertical="center" wrapText="1"/>
      <protection locked="0"/>
    </xf>
    <xf numFmtId="181" fontId="3" fillId="7" borderId="2" xfId="142" applyNumberFormat="1" applyFont="1" applyFill="1" applyBorder="1" applyAlignment="1" applyProtection="1">
      <alignment horizontal="center" vertical="center" wrapText="1"/>
      <protection locked="0"/>
    </xf>
    <xf numFmtId="41" fontId="3" fillId="7" borderId="2" xfId="142" applyNumberFormat="1" applyFont="1" applyFill="1" applyBorder="1" applyAlignment="1" applyProtection="1">
      <alignment horizontal="right" vertical="center" wrapText="1"/>
      <protection locked="0"/>
    </xf>
    <xf numFmtId="41" fontId="3" fillId="7" borderId="2" xfId="142" applyFont="1" applyFill="1" applyBorder="1" applyAlignment="1" applyProtection="1">
      <alignment horizontal="center" vertical="center" wrapText="1"/>
      <protection locked="0"/>
    </xf>
    <xf numFmtId="4" fontId="3" fillId="7" borderId="2" xfId="0" applyNumberFormat="1" applyFont="1" applyFill="1" applyBorder="1" applyAlignment="1" applyProtection="1">
      <alignment horizontal="center" vertical="center" wrapText="1"/>
      <protection locked="0"/>
    </xf>
    <xf numFmtId="0" fontId="3" fillId="7" borderId="2" xfId="0" applyFont="1" applyFill="1" applyBorder="1" applyAlignment="1" applyProtection="1">
      <alignment vertical="center" wrapText="1"/>
    </xf>
    <xf numFmtId="4" fontId="3" fillId="7" borderId="5" xfId="142" applyNumberFormat="1" applyFont="1" applyFill="1" applyBorder="1" applyAlignment="1" applyProtection="1">
      <alignment horizontal="right" vertical="center" wrapText="1"/>
      <protection locked="0"/>
    </xf>
    <xf numFmtId="0" fontId="3" fillId="7" borderId="5" xfId="0" applyFont="1" applyFill="1" applyBorder="1" applyAlignment="1" applyProtection="1">
      <alignment horizontal="right" vertical="center" wrapText="1"/>
      <protection locked="0"/>
    </xf>
    <xf numFmtId="2" fontId="3" fillId="7" borderId="5" xfId="0" applyNumberFormat="1" applyFont="1" applyFill="1" applyBorder="1" applyAlignment="1" applyProtection="1">
      <alignment horizontal="right" vertical="center" wrapText="1"/>
      <protection locked="0"/>
    </xf>
    <xf numFmtId="4" fontId="3" fillId="7" borderId="5" xfId="0" applyNumberFormat="1" applyFont="1" applyFill="1" applyBorder="1" applyAlignment="1" applyProtection="1">
      <alignment horizontal="right" vertical="center" wrapText="1"/>
      <protection locked="0"/>
    </xf>
    <xf numFmtId="42" fontId="3" fillId="7" borderId="2" xfId="143" applyFont="1" applyFill="1" applyBorder="1" applyAlignment="1" applyProtection="1">
      <alignment vertical="center" wrapText="1"/>
      <protection locked="0"/>
    </xf>
    <xf numFmtId="0" fontId="3" fillId="7" borderId="0" xfId="0" applyFont="1" applyFill="1" applyAlignment="1">
      <alignment horizontal="justify" vertical="center" wrapText="1"/>
    </xf>
    <xf numFmtId="0" fontId="3" fillId="7" borderId="5" xfId="0" applyFont="1" applyFill="1" applyBorder="1" applyAlignment="1" applyProtection="1">
      <alignment horizontal="left" vertical="center" wrapText="1"/>
      <protection locked="0"/>
    </xf>
    <xf numFmtId="2" fontId="21" fillId="7" borderId="2" xfId="0" applyNumberFormat="1" applyFont="1" applyFill="1" applyBorder="1" applyAlignment="1" applyProtection="1">
      <alignment horizontal="center" vertical="center" wrapText="1"/>
      <protection locked="0"/>
    </xf>
    <xf numFmtId="181" fontId="3" fillId="7" borderId="2" xfId="0" applyNumberFormat="1" applyFont="1" applyFill="1" applyBorder="1" applyAlignment="1" applyProtection="1">
      <alignment horizontal="center" vertical="center" wrapText="1"/>
      <protection locked="0"/>
    </xf>
    <xf numFmtId="0" fontId="3" fillId="7" borderId="2" xfId="0" applyFont="1" applyFill="1" applyBorder="1" applyAlignment="1" applyProtection="1">
      <alignment vertical="center"/>
      <protection locked="0"/>
    </xf>
    <xf numFmtId="4" fontId="21" fillId="7" borderId="2" xfId="112" applyNumberFormat="1" applyFont="1" applyFill="1" applyBorder="1" applyAlignment="1">
      <alignment horizontal="center" vertical="center" wrapText="1"/>
    </xf>
    <xf numFmtId="42" fontId="3" fillId="7" borderId="2" xfId="143" applyFont="1" applyFill="1" applyBorder="1" applyAlignment="1">
      <alignment vertical="center"/>
    </xf>
    <xf numFmtId="182" fontId="3" fillId="7" borderId="2" xfId="0" applyNumberFormat="1" applyFont="1" applyFill="1" applyBorder="1" applyAlignment="1" applyProtection="1">
      <alignment horizontal="center" vertical="center" wrapText="1"/>
      <protection locked="0"/>
    </xf>
    <xf numFmtId="42" fontId="3" fillId="7" borderId="2" xfId="143" applyFont="1" applyFill="1" applyBorder="1" applyAlignment="1">
      <alignment vertical="center" wrapText="1"/>
    </xf>
    <xf numFmtId="0" fontId="3" fillId="7" borderId="2" xfId="0" applyFont="1" applyFill="1" applyBorder="1" applyAlignment="1" applyProtection="1">
      <alignment horizontal="justify" vertical="center" wrapText="1"/>
    </xf>
    <xf numFmtId="41" fontId="3" fillId="7" borderId="2" xfId="0" applyNumberFormat="1" applyFont="1" applyFill="1" applyBorder="1" applyAlignment="1" applyProtection="1">
      <alignment horizontal="center" vertical="center" wrapText="1"/>
      <protection locked="0"/>
    </xf>
    <xf numFmtId="4" fontId="3" fillId="7" borderId="2" xfId="112" applyNumberFormat="1" applyFont="1" applyFill="1" applyBorder="1" applyAlignment="1">
      <alignment horizontal="right" vertical="center" wrapText="1"/>
    </xf>
    <xf numFmtId="10" fontId="3" fillId="7" borderId="2" xfId="99" applyNumberFormat="1" applyFont="1" applyFill="1" applyBorder="1" applyAlignment="1" applyProtection="1">
      <alignment horizontal="center" vertical="center" wrapText="1"/>
    </xf>
    <xf numFmtId="0" fontId="3" fillId="7" borderId="2" xfId="0" applyFont="1" applyFill="1" applyBorder="1" applyAlignment="1">
      <alignment horizontal="justify" vertical="center" wrapText="1"/>
    </xf>
    <xf numFmtId="42" fontId="3" fillId="9" borderId="3" xfId="113" applyFont="1" applyFill="1" applyBorder="1" applyAlignment="1" applyProtection="1">
      <alignment horizontal="right" vertical="center" wrapText="1"/>
      <protection locked="0"/>
    </xf>
    <xf numFmtId="0" fontId="3" fillId="7" borderId="2" xfId="0" applyFont="1" applyFill="1" applyBorder="1" applyAlignment="1">
      <alignment horizontal="left" vertical="center" wrapText="1"/>
    </xf>
    <xf numFmtId="4" fontId="3" fillId="7" borderId="2" xfId="0" applyNumberFormat="1" applyFont="1" applyFill="1" applyBorder="1" applyAlignment="1">
      <alignment horizontal="center" vertical="center" wrapText="1"/>
    </xf>
    <xf numFmtId="42" fontId="3" fillId="7" borderId="2" xfId="113" applyFont="1" applyFill="1" applyBorder="1" applyAlignment="1">
      <alignment vertical="center"/>
    </xf>
    <xf numFmtId="0" fontId="3" fillId="7" borderId="2" xfId="0" applyFont="1" applyFill="1" applyBorder="1" applyAlignment="1">
      <alignment vertical="top" wrapText="1"/>
    </xf>
    <xf numFmtId="4" fontId="3" fillId="7" borderId="0" xfId="142" applyNumberFormat="1" applyFont="1" applyFill="1" applyBorder="1" applyAlignment="1" applyProtection="1">
      <alignment horizontal="right" vertical="center" wrapText="1"/>
      <protection locked="0"/>
    </xf>
    <xf numFmtId="4" fontId="3" fillId="7" borderId="8" xfId="142" applyNumberFormat="1" applyFont="1" applyFill="1" applyBorder="1" applyAlignment="1" applyProtection="1">
      <alignment horizontal="center" vertical="center"/>
      <protection locked="0"/>
    </xf>
    <xf numFmtId="4" fontId="3" fillId="7" borderId="9" xfId="142" applyNumberFormat="1" applyFont="1" applyFill="1" applyBorder="1" applyAlignment="1" applyProtection="1">
      <alignment horizontal="center" vertical="center"/>
      <protection locked="0"/>
    </xf>
    <xf numFmtId="4" fontId="3" fillId="7" borderId="10" xfId="142" applyNumberFormat="1" applyFont="1" applyFill="1" applyBorder="1" applyAlignment="1" applyProtection="1">
      <alignment horizontal="center" vertical="center"/>
      <protection locked="0"/>
    </xf>
    <xf numFmtId="4" fontId="3" fillId="7" borderId="2" xfId="0" applyNumberFormat="1" applyFont="1" applyFill="1" applyBorder="1" applyAlignment="1" applyProtection="1">
      <alignment horizontal="center" vertical="center" wrapText="1"/>
      <protection locked="0"/>
    </xf>
    <xf numFmtId="3" fontId="3" fillId="7" borderId="8" xfId="0" applyNumberFormat="1" applyFont="1" applyFill="1" applyBorder="1" applyAlignment="1" applyProtection="1">
      <alignment horizontal="center" vertical="center" wrapText="1"/>
      <protection locked="0"/>
    </xf>
    <xf numFmtId="3" fontId="3" fillId="7" borderId="9" xfId="0" applyNumberFormat="1" applyFont="1" applyFill="1" applyBorder="1" applyAlignment="1" applyProtection="1">
      <alignment horizontal="center" vertical="center" wrapText="1"/>
      <protection locked="0"/>
    </xf>
    <xf numFmtId="3" fontId="3" fillId="7" borderId="10" xfId="0" applyNumberFormat="1" applyFont="1" applyFill="1" applyBorder="1" applyAlignment="1" applyProtection="1">
      <alignment horizontal="center" vertical="center" wrapText="1"/>
      <protection locked="0"/>
    </xf>
    <xf numFmtId="4" fontId="3" fillId="7" borderId="8" xfId="0" applyNumberFormat="1" applyFont="1" applyFill="1" applyBorder="1" applyAlignment="1" applyProtection="1">
      <alignment horizontal="center" vertical="center" wrapText="1"/>
      <protection locked="0"/>
    </xf>
    <xf numFmtId="4" fontId="3" fillId="7" borderId="9" xfId="0" applyNumberFormat="1" applyFont="1" applyFill="1" applyBorder="1" applyAlignment="1" applyProtection="1">
      <alignment horizontal="center" vertical="center" wrapText="1"/>
      <protection locked="0"/>
    </xf>
    <xf numFmtId="4" fontId="3" fillId="7" borderId="10" xfId="0" applyNumberFormat="1"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xf numFmtId="4" fontId="3" fillId="7" borderId="0" xfId="0" applyNumberFormat="1" applyFont="1" applyFill="1" applyBorder="1" applyAlignment="1" applyProtection="1">
      <alignment horizontal="center" vertical="center" wrapText="1"/>
      <protection locked="0"/>
    </xf>
    <xf numFmtId="4" fontId="3" fillId="7" borderId="2" xfId="142" applyNumberFormat="1" applyFont="1" applyFill="1" applyBorder="1" applyAlignment="1" applyProtection="1">
      <alignment horizontal="center" vertical="center"/>
      <protection locked="0"/>
    </xf>
    <xf numFmtId="42" fontId="3" fillId="7" borderId="3" xfId="143" applyFont="1" applyFill="1" applyBorder="1" applyAlignment="1" applyProtection="1">
      <alignment horizontal="center" vertical="center" wrapText="1"/>
      <protection locked="0"/>
    </xf>
    <xf numFmtId="42" fontId="3" fillId="7" borderId="5" xfId="143"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protection locked="0"/>
    </xf>
    <xf numFmtId="0" fontId="3" fillId="7" borderId="9" xfId="0" applyFont="1" applyFill="1" applyBorder="1" applyAlignment="1" applyProtection="1">
      <alignment horizontal="center" vertical="center"/>
      <protection locked="0"/>
    </xf>
    <xf numFmtId="0" fontId="3" fillId="7" borderId="10" xfId="0" applyFont="1" applyFill="1" applyBorder="1" applyAlignment="1" applyProtection="1">
      <alignment horizontal="center" vertical="center"/>
      <protection locked="0"/>
    </xf>
    <xf numFmtId="0" fontId="3" fillId="7" borderId="3" xfId="0" applyFont="1" applyFill="1" applyBorder="1" applyAlignment="1" applyProtection="1">
      <alignment horizontal="justify" vertical="center" wrapText="1"/>
      <protection locked="0"/>
    </xf>
    <xf numFmtId="0" fontId="3" fillId="7" borderId="5" xfId="0" applyFont="1" applyFill="1" applyBorder="1" applyAlignment="1" applyProtection="1">
      <alignment horizontal="justify" vertical="center" wrapText="1"/>
      <protection locked="0"/>
    </xf>
    <xf numFmtId="42" fontId="3" fillId="9" borderId="3" xfId="113" applyFont="1" applyFill="1" applyBorder="1" applyAlignment="1" applyProtection="1">
      <alignment horizontal="center" vertical="center" wrapText="1"/>
      <protection locked="0"/>
    </xf>
    <xf numFmtId="42" fontId="3" fillId="9" borderId="5" xfId="113" applyFont="1" applyFill="1" applyBorder="1" applyAlignment="1" applyProtection="1">
      <alignment horizontal="center" vertical="center" wrapText="1"/>
      <protection locked="0"/>
    </xf>
    <xf numFmtId="0" fontId="21" fillId="5" borderId="2" xfId="0" applyFont="1" applyFill="1" applyBorder="1" applyAlignment="1">
      <alignment horizontal="right" vertical="center" wrapText="1"/>
    </xf>
    <xf numFmtId="41" fontId="3" fillId="0" borderId="2" xfId="112" applyFont="1" applyBorder="1" applyAlignment="1">
      <alignment horizontal="right" vertical="center" wrapText="1"/>
    </xf>
    <xf numFmtId="4" fontId="21" fillId="7" borderId="8" xfId="142" applyNumberFormat="1" applyFont="1" applyFill="1" applyBorder="1" applyAlignment="1" applyProtection="1">
      <alignment horizontal="center" vertical="center"/>
      <protection locked="0"/>
    </xf>
    <xf numFmtId="4" fontId="21" fillId="7" borderId="9" xfId="142" applyNumberFormat="1" applyFont="1" applyFill="1" applyBorder="1" applyAlignment="1" applyProtection="1">
      <alignment horizontal="center" vertical="center"/>
      <protection locked="0"/>
    </xf>
    <xf numFmtId="4" fontId="21" fillId="7" borderId="10" xfId="142" applyNumberFormat="1" applyFont="1" applyFill="1" applyBorder="1" applyAlignment="1" applyProtection="1">
      <alignment horizontal="center" vertical="center"/>
      <protection locked="0"/>
    </xf>
    <xf numFmtId="0" fontId="3" fillId="7" borderId="3" xfId="0" applyFont="1" applyFill="1" applyBorder="1" applyAlignment="1" applyProtection="1">
      <alignment horizontal="justify" vertical="center" wrapText="1"/>
    </xf>
    <xf numFmtId="0" fontId="3" fillId="7" borderId="5" xfId="0" applyFont="1" applyFill="1" applyBorder="1" applyAlignment="1" applyProtection="1">
      <alignment horizontal="justify" vertical="center" wrapText="1"/>
    </xf>
    <xf numFmtId="0" fontId="3" fillId="7" borderId="4" xfId="0" applyFont="1" applyFill="1" applyBorder="1" applyAlignment="1" applyProtection="1">
      <alignment horizontal="justify" vertical="center" wrapText="1"/>
      <protection locked="0"/>
    </xf>
    <xf numFmtId="181" fontId="3" fillId="7" borderId="8" xfId="112" applyNumberFormat="1" applyFont="1" applyFill="1" applyBorder="1" applyAlignment="1" applyProtection="1">
      <alignment horizontal="center" vertical="center"/>
      <protection locked="0"/>
    </xf>
    <xf numFmtId="181" fontId="3" fillId="7" borderId="9" xfId="112" applyNumberFormat="1" applyFont="1" applyFill="1" applyBorder="1" applyAlignment="1" applyProtection="1">
      <alignment horizontal="center" vertical="center"/>
      <protection locked="0"/>
    </xf>
    <xf numFmtId="181" fontId="3" fillId="7" borderId="10" xfId="112" applyNumberFormat="1" applyFont="1" applyFill="1" applyBorder="1" applyAlignment="1" applyProtection="1">
      <alignment horizontal="center" vertical="center"/>
      <protection locked="0"/>
    </xf>
    <xf numFmtId="181" fontId="3" fillId="7" borderId="8" xfId="142" applyNumberFormat="1" applyFont="1" applyFill="1" applyBorder="1" applyAlignment="1" applyProtection="1">
      <alignment horizontal="center" vertical="center"/>
      <protection locked="0"/>
    </xf>
    <xf numFmtId="181" fontId="3" fillId="7" borderId="9" xfId="142" applyNumberFormat="1" applyFont="1" applyFill="1" applyBorder="1" applyAlignment="1" applyProtection="1">
      <alignment horizontal="center" vertical="center"/>
      <protection locked="0"/>
    </xf>
    <xf numFmtId="181" fontId="3" fillId="7" borderId="10" xfId="142" applyNumberFormat="1" applyFont="1" applyFill="1" applyBorder="1" applyAlignment="1" applyProtection="1">
      <alignment horizontal="center" vertical="center"/>
      <protection locked="0"/>
    </xf>
    <xf numFmtId="182" fontId="3" fillId="7" borderId="8" xfId="142" applyNumberFormat="1" applyFont="1" applyFill="1" applyBorder="1" applyAlignment="1" applyProtection="1">
      <alignment horizontal="center" vertical="center"/>
      <protection locked="0"/>
    </xf>
    <xf numFmtId="182" fontId="3" fillId="7" borderId="9" xfId="142" applyNumberFormat="1" applyFont="1" applyFill="1" applyBorder="1" applyAlignment="1" applyProtection="1">
      <alignment horizontal="center" vertical="center"/>
      <protection locked="0"/>
    </xf>
    <xf numFmtId="182" fontId="3" fillId="7" borderId="10" xfId="142" applyNumberFormat="1" applyFont="1" applyFill="1" applyBorder="1" applyAlignment="1" applyProtection="1">
      <alignment horizontal="center" vertical="center"/>
      <protection locked="0"/>
    </xf>
    <xf numFmtId="4" fontId="3" fillId="7" borderId="8" xfId="0" applyNumberFormat="1" applyFont="1" applyFill="1" applyBorder="1" applyAlignment="1" applyProtection="1">
      <alignment horizontal="center" vertical="center"/>
      <protection locked="0"/>
    </xf>
    <xf numFmtId="0" fontId="3" fillId="7" borderId="15" xfId="0" applyFont="1" applyFill="1" applyBorder="1" applyAlignment="1" applyProtection="1">
      <alignment horizontal="justify" vertical="center" wrapText="1"/>
      <protection locked="0"/>
    </xf>
    <xf numFmtId="0" fontId="3" fillId="7" borderId="11" xfId="0" applyFont="1" applyFill="1" applyBorder="1" applyAlignment="1" applyProtection="1">
      <alignment horizontal="justify" vertical="center" wrapText="1"/>
      <protection locked="0"/>
    </xf>
    <xf numFmtId="41" fontId="3" fillId="7" borderId="8" xfId="112" applyFont="1" applyFill="1" applyBorder="1" applyAlignment="1" applyProtection="1">
      <alignment horizontal="center" vertical="center"/>
      <protection locked="0"/>
    </xf>
    <xf numFmtId="41" fontId="3" fillId="7" borderId="9" xfId="112" applyFont="1" applyFill="1" applyBorder="1" applyAlignment="1" applyProtection="1">
      <alignment horizontal="center" vertical="center"/>
      <protection locked="0"/>
    </xf>
    <xf numFmtId="41" fontId="3" fillId="7" borderId="10" xfId="112" applyFont="1" applyFill="1" applyBorder="1" applyAlignment="1" applyProtection="1">
      <alignment horizontal="center" vertical="center"/>
      <protection locked="0"/>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7" borderId="4" xfId="0" applyFont="1" applyFill="1" applyBorder="1" applyAlignment="1" applyProtection="1">
      <alignment horizontal="justify"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3" fillId="0" borderId="8" xfId="0" quotePrefix="1" applyFont="1" applyBorder="1" applyAlignment="1">
      <alignment horizontal="justify" vertical="center" wrapText="1"/>
    </xf>
    <xf numFmtId="0" fontId="3" fillId="0" borderId="9" xfId="0" quotePrefix="1" applyFont="1" applyBorder="1" applyAlignment="1">
      <alignment horizontal="justify" vertical="center" wrapText="1"/>
    </xf>
    <xf numFmtId="0" fontId="3" fillId="0" borderId="10" xfId="0" quotePrefix="1" applyFont="1" applyBorder="1" applyAlignment="1">
      <alignment horizontal="justify" vertical="center" wrapText="1"/>
    </xf>
    <xf numFmtId="0" fontId="3" fillId="7" borderId="8" xfId="0" applyFont="1" applyFill="1" applyBorder="1" applyAlignment="1">
      <alignment horizontal="justify" vertical="center" wrapText="1"/>
    </xf>
    <xf numFmtId="0" fontId="3" fillId="7" borderId="9" xfId="0" applyFont="1" applyFill="1" applyBorder="1" applyAlignment="1">
      <alignment horizontal="justify" vertical="center" wrapText="1"/>
    </xf>
    <xf numFmtId="0" fontId="3" fillId="7" borderId="10" xfId="0" applyFont="1" applyFill="1" applyBorder="1" applyAlignment="1">
      <alignment horizontal="justify" vertical="center" wrapText="1"/>
    </xf>
    <xf numFmtId="41" fontId="3" fillId="7" borderId="2" xfId="112" applyFont="1" applyFill="1" applyBorder="1" applyAlignment="1">
      <alignment horizontal="right" vertical="center" wrapText="1"/>
    </xf>
    <xf numFmtId="0" fontId="3" fillId="0" borderId="2" xfId="0" applyFont="1" applyBorder="1" applyAlignment="1">
      <alignment horizontal="center" vertical="center" wrapText="1"/>
    </xf>
    <xf numFmtId="0" fontId="3" fillId="0" borderId="2" xfId="0" applyFont="1" applyBorder="1" applyAlignment="1">
      <alignment horizontal="right" vertical="center" wrapText="1"/>
    </xf>
    <xf numFmtId="0" fontId="3" fillId="7" borderId="2" xfId="0" applyFont="1" applyFill="1" applyBorder="1" applyAlignment="1">
      <alignment horizontal="right" vertical="center" wrapText="1"/>
    </xf>
    <xf numFmtId="180" fontId="3" fillId="0" borderId="2" xfId="99" applyNumberFormat="1" applyFont="1" applyBorder="1" applyAlignment="1">
      <alignment horizontal="right" vertical="center" wrapText="1"/>
    </xf>
    <xf numFmtId="0" fontId="3" fillId="7" borderId="2" xfId="0" applyFont="1" applyFill="1" applyBorder="1" applyAlignment="1">
      <alignment horizontal="center" vertical="center" wrapText="1"/>
    </xf>
    <xf numFmtId="0" fontId="3" fillId="7" borderId="3" xfId="0" applyFont="1" applyFill="1" applyBorder="1" applyAlignment="1" applyProtection="1">
      <alignment horizontal="left" vertical="center" wrapText="1"/>
    </xf>
    <xf numFmtId="0" fontId="3" fillId="7" borderId="5" xfId="0" applyFont="1" applyFill="1" applyBorder="1" applyAlignment="1" applyProtection="1">
      <alignment horizontal="left" vertical="center" wrapText="1"/>
    </xf>
    <xf numFmtId="0" fontId="3" fillId="7" borderId="3"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21" fillId="6" borderId="15" xfId="0" applyFont="1" applyFill="1" applyBorder="1" applyAlignment="1">
      <alignment horizontal="left" vertical="center" wrapText="1"/>
    </xf>
    <xf numFmtId="0" fontId="21" fillId="6" borderId="16"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21" fillId="6" borderId="12" xfId="0" applyFont="1" applyFill="1" applyBorder="1" applyAlignment="1">
      <alignment horizontal="left" vertical="center" wrapText="1"/>
    </xf>
    <xf numFmtId="0" fontId="21" fillId="6" borderId="13" xfId="0" applyFont="1" applyFill="1" applyBorder="1" applyAlignment="1">
      <alignment horizontal="left" vertical="center" wrapText="1"/>
    </xf>
    <xf numFmtId="0" fontId="21" fillId="6" borderId="14" xfId="0" applyFont="1" applyFill="1" applyBorder="1" applyAlignment="1">
      <alignment horizontal="left" vertical="center" wrapText="1"/>
    </xf>
    <xf numFmtId="0" fontId="3" fillId="7" borderId="4" xfId="0" applyFont="1" applyFill="1" applyBorder="1" applyAlignment="1" applyProtection="1">
      <alignment horizontal="left" vertical="center" wrapText="1"/>
    </xf>
    <xf numFmtId="0" fontId="21" fillId="6" borderId="6" xfId="0" applyFont="1" applyFill="1" applyBorder="1" applyAlignment="1">
      <alignment horizontal="center" vertical="center" textRotation="255" wrapText="1"/>
    </xf>
    <xf numFmtId="0" fontId="21" fillId="7" borderId="7" xfId="0" applyFont="1" applyFill="1" applyBorder="1" applyAlignment="1">
      <alignment horizontal="center" vertical="center" textRotation="255" wrapText="1"/>
    </xf>
    <xf numFmtId="0" fontId="21" fillId="6" borderId="7" xfId="0" applyFont="1" applyFill="1" applyBorder="1" applyAlignment="1">
      <alignment horizontal="center" vertical="center" textRotation="255" wrapText="1"/>
    </xf>
    <xf numFmtId="0" fontId="21" fillId="8" borderId="7" xfId="0" applyFont="1" applyFill="1" applyBorder="1" applyAlignment="1">
      <alignment horizontal="center" vertical="center" textRotation="255" wrapText="1"/>
    </xf>
    <xf numFmtId="0" fontId="3" fillId="7" borderId="2" xfId="0" applyFont="1" applyFill="1" applyBorder="1" applyAlignment="1" applyProtection="1">
      <alignment horizontal="justify" vertical="center" wrapText="1"/>
    </xf>
    <xf numFmtId="0" fontId="21" fillId="5" borderId="2" xfId="0" applyFont="1" applyFill="1" applyBorder="1" applyAlignment="1" applyProtection="1">
      <alignment horizontal="center" vertical="center" wrapText="1"/>
      <protection locked="0"/>
    </xf>
    <xf numFmtId="0" fontId="21" fillId="6" borderId="2" xfId="0" applyFont="1" applyFill="1" applyBorder="1" applyAlignment="1" applyProtection="1">
      <alignment horizontal="center" vertical="center" wrapText="1"/>
      <protection locked="0"/>
    </xf>
    <xf numFmtId="0" fontId="21" fillId="6" borderId="2" xfId="0" applyFont="1" applyFill="1" applyBorder="1" applyAlignment="1">
      <alignment horizontal="justify" vertical="center" wrapText="1"/>
    </xf>
    <xf numFmtId="9" fontId="21" fillId="6" borderId="2" xfId="99" applyFont="1" applyFill="1" applyBorder="1" applyAlignment="1" applyProtection="1">
      <alignment horizontal="center" vertical="center" wrapText="1"/>
      <protection locked="0"/>
    </xf>
    <xf numFmtId="0" fontId="21" fillId="6" borderId="3" xfId="0" applyFont="1" applyFill="1" applyBorder="1" applyAlignment="1" applyProtection="1">
      <alignment horizontal="right" vertical="center" wrapText="1"/>
      <protection locked="0"/>
    </xf>
    <xf numFmtId="0" fontId="21" fillId="6" borderId="5" xfId="0" applyFont="1" applyFill="1" applyBorder="1" applyAlignment="1" applyProtection="1">
      <alignment horizontal="right" vertical="center" wrapText="1"/>
      <protection locked="0"/>
    </xf>
    <xf numFmtId="9" fontId="3" fillId="0" borderId="2" xfId="99" applyFont="1" applyBorder="1" applyAlignment="1">
      <alignment horizontal="right" vertical="center" wrapText="1"/>
    </xf>
    <xf numFmtId="0" fontId="21" fillId="5" borderId="2" xfId="0" applyFont="1" applyFill="1" applyBorder="1" applyAlignment="1">
      <alignment horizontal="center" vertical="center" wrapText="1"/>
    </xf>
    <xf numFmtId="0" fontId="3" fillId="0" borderId="15" xfId="0" applyFont="1" applyFill="1" applyBorder="1" applyAlignment="1" applyProtection="1">
      <alignment horizontal="center"/>
    </xf>
    <xf numFmtId="0" fontId="3" fillId="0" borderId="16" xfId="0" applyFont="1" applyFill="1" applyBorder="1" applyAlignment="1" applyProtection="1">
      <alignment horizontal="center"/>
    </xf>
    <xf numFmtId="0" fontId="3" fillId="0" borderId="6" xfId="0" applyFont="1" applyFill="1" applyBorder="1" applyAlignment="1" applyProtection="1">
      <alignment horizontal="center"/>
    </xf>
    <xf numFmtId="0" fontId="3" fillId="0" borderId="1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7" xfId="0" applyFont="1" applyFill="1" applyBorder="1" applyAlignment="1" applyProtection="1">
      <alignment horizontal="center"/>
    </xf>
    <xf numFmtId="0" fontId="3" fillId="0" borderId="12" xfId="0" applyFont="1" applyFill="1" applyBorder="1" applyAlignment="1" applyProtection="1">
      <alignment horizontal="center"/>
    </xf>
    <xf numFmtId="0" fontId="3" fillId="0" borderId="13" xfId="0" applyFont="1" applyFill="1" applyBorder="1" applyAlignment="1" applyProtection="1">
      <alignment horizontal="center"/>
    </xf>
    <xf numFmtId="0" fontId="3" fillId="0" borderId="14" xfId="0" applyFont="1" applyFill="1" applyBorder="1" applyAlignment="1" applyProtection="1">
      <alignment horizontal="center"/>
    </xf>
    <xf numFmtId="0" fontId="21" fillId="7" borderId="2" xfId="0" applyFont="1" applyFill="1" applyBorder="1" applyAlignment="1">
      <alignment horizontal="left" vertical="center"/>
    </xf>
    <xf numFmtId="0" fontId="21" fillId="0" borderId="8"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21" fillId="0" borderId="8" xfId="0" applyFont="1" applyFill="1" applyBorder="1" applyAlignment="1" applyProtection="1">
      <alignment horizontal="left" vertical="center"/>
    </xf>
    <xf numFmtId="0" fontId="21" fillId="0" borderId="9" xfId="0" applyFont="1" applyFill="1" applyBorder="1" applyAlignment="1" applyProtection="1">
      <alignment horizontal="left" vertical="center"/>
    </xf>
    <xf numFmtId="0" fontId="21" fillId="0" borderId="10" xfId="0" applyFont="1" applyFill="1" applyBorder="1" applyAlignment="1" applyProtection="1">
      <alignment horizontal="left" vertical="center"/>
    </xf>
    <xf numFmtId="20" fontId="3" fillId="0" borderId="8" xfId="0" applyNumberFormat="1" applyFont="1" applyFill="1" applyBorder="1" applyAlignment="1">
      <alignment horizontal="justify" vertical="center" wrapText="1"/>
    </xf>
    <xf numFmtId="0" fontId="3" fillId="0" borderId="9"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15" fontId="3" fillId="0" borderId="8" xfId="0" applyNumberFormat="1" applyFont="1" applyFill="1" applyBorder="1" applyAlignment="1">
      <alignment horizontal="left" vertical="center" wrapText="1"/>
    </xf>
    <xf numFmtId="0" fontId="21" fillId="0" borderId="2" xfId="0" applyFont="1" applyFill="1" applyBorder="1" applyAlignment="1" applyProtection="1">
      <alignment horizontal="left" vertical="center" wrapText="1"/>
    </xf>
    <xf numFmtId="0" fontId="3" fillId="7" borderId="2" xfId="0" applyFont="1" applyFill="1" applyBorder="1" applyAlignment="1" applyProtection="1">
      <alignment horizontal="center" vertical="center" wrapText="1"/>
    </xf>
    <xf numFmtId="42" fontId="21" fillId="6" borderId="11" xfId="113" applyFont="1" applyFill="1" applyBorder="1" applyAlignment="1" applyProtection="1">
      <alignment horizontal="center" vertical="center" wrapText="1"/>
      <protection locked="0"/>
    </xf>
    <xf numFmtId="42" fontId="21" fillId="6" borderId="0" xfId="113" applyFont="1" applyFill="1" applyBorder="1" applyAlignment="1" applyProtection="1">
      <alignment horizontal="center" vertical="center" wrapText="1"/>
      <protection locked="0"/>
    </xf>
    <xf numFmtId="42" fontId="21" fillId="6" borderId="12" xfId="113" applyFont="1" applyFill="1" applyBorder="1" applyAlignment="1" applyProtection="1">
      <alignment horizontal="center" vertical="center" wrapText="1"/>
      <protection locked="0"/>
    </xf>
    <xf numFmtId="42" fontId="21" fillId="6" borderId="13" xfId="113" applyFont="1" applyFill="1" applyBorder="1" applyAlignment="1" applyProtection="1">
      <alignment horizontal="center" vertical="center" wrapText="1"/>
      <protection locked="0"/>
    </xf>
    <xf numFmtId="0" fontId="3" fillId="7" borderId="3" xfId="0" applyFont="1" applyFill="1" applyBorder="1" applyAlignment="1">
      <alignment horizontal="justify" vertical="center" wrapText="1"/>
    </xf>
    <xf numFmtId="0" fontId="3" fillId="7" borderId="5" xfId="0" applyFont="1" applyFill="1" applyBorder="1" applyAlignment="1">
      <alignment horizontal="justify" vertical="center" wrapText="1"/>
    </xf>
    <xf numFmtId="0" fontId="21" fillId="5" borderId="2" xfId="0" applyFont="1" applyFill="1" applyBorder="1" applyAlignment="1" applyProtection="1">
      <alignment horizontal="center" vertical="center"/>
      <protection locked="0"/>
    </xf>
    <xf numFmtId="42" fontId="3" fillId="10" borderId="2" xfId="113" applyFont="1" applyFill="1" applyBorder="1" applyAlignment="1">
      <alignment horizontal="center" vertical="center"/>
    </xf>
    <xf numFmtId="182" fontId="3" fillId="7" borderId="8" xfId="112" applyNumberFormat="1" applyFont="1" applyFill="1" applyBorder="1" applyAlignment="1" applyProtection="1">
      <alignment horizontal="center" vertical="center"/>
      <protection locked="0"/>
    </xf>
    <xf numFmtId="182" fontId="3" fillId="7" borderId="9" xfId="112" applyNumberFormat="1" applyFont="1" applyFill="1" applyBorder="1" applyAlignment="1" applyProtection="1">
      <alignment horizontal="center" vertical="center"/>
      <protection locked="0"/>
    </xf>
    <xf numFmtId="182" fontId="3" fillId="7" borderId="10" xfId="112" applyNumberFormat="1"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42" fontId="3" fillId="9" borderId="4" xfId="113" applyFont="1" applyFill="1" applyBorder="1" applyAlignment="1" applyProtection="1">
      <alignment horizontal="center" vertical="center" wrapText="1"/>
      <protection locked="0"/>
    </xf>
    <xf numFmtId="42" fontId="3" fillId="7" borderId="2" xfId="143" applyFont="1" applyFill="1" applyBorder="1" applyAlignment="1">
      <alignment horizontal="center" vertical="center" wrapText="1"/>
    </xf>
    <xf numFmtId="42" fontId="3" fillId="7" borderId="2" xfId="143" applyFont="1" applyFill="1" applyBorder="1" applyAlignment="1">
      <alignment horizontal="center" vertical="center"/>
    </xf>
    <xf numFmtId="42" fontId="3" fillId="7" borderId="2" xfId="143" applyFont="1" applyFill="1" applyBorder="1" applyAlignment="1" applyProtection="1">
      <alignment horizontal="center" vertical="center" wrapText="1"/>
      <protection locked="0"/>
    </xf>
    <xf numFmtId="42" fontId="3" fillId="7" borderId="2" xfId="113" applyFont="1" applyFill="1" applyBorder="1" applyAlignment="1" applyProtection="1">
      <alignment horizontal="center" vertical="center" wrapText="1"/>
      <protection locked="0"/>
    </xf>
  </cellXfs>
  <cellStyles count="144">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83777</xdr:colOff>
      <xdr:row>1</xdr:row>
      <xdr:rowOff>80698</xdr:rowOff>
    </xdr:from>
    <xdr:to>
      <xdr:col>4</xdr:col>
      <xdr:colOff>443256</xdr:colOff>
      <xdr:row>4</xdr:row>
      <xdr:rowOff>250030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9746" y="140229"/>
          <a:ext cx="1502479" cy="124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97"/>
  <sheetViews>
    <sheetView showGridLines="0" tabSelected="1" topLeftCell="D10" zoomScale="80" zoomScaleNormal="80" zoomScaleSheetLayoutView="70" zoomScalePageLayoutView="25" workbookViewId="0">
      <pane ySplit="2" topLeftCell="A12" activePane="bottomLeft" state="frozen"/>
      <selection activeCell="E10" sqref="E10"/>
      <selection pane="bottomLeft" activeCell="AL68" sqref="AL68:AL69"/>
    </sheetView>
  </sheetViews>
  <sheetFormatPr baseColWidth="10" defaultColWidth="9.85546875" defaultRowHeight="15" customHeight="1" x14ac:dyDescent="0.2"/>
  <cols>
    <col min="1" max="1" width="2" style="5" customWidth="1"/>
    <col min="2" max="2" width="11.42578125" style="5" customWidth="1"/>
    <col min="3" max="3" width="17.140625" style="29" customWidth="1"/>
    <col min="4" max="4" width="17.140625" style="5" customWidth="1"/>
    <col min="5" max="5" width="18.42578125" style="5" customWidth="1"/>
    <col min="6" max="6" width="25" style="17" customWidth="1"/>
    <col min="7" max="7" width="27.5703125" style="17" customWidth="1"/>
    <col min="8" max="8" width="17.28515625" style="17" hidden="1" customWidth="1"/>
    <col min="9" max="9" width="14.7109375" style="17" hidden="1" customWidth="1"/>
    <col min="10" max="10" width="13.85546875" style="29" hidden="1" customWidth="1"/>
    <col min="11" max="11" width="13" style="39" hidden="1" customWidth="1"/>
    <col min="12" max="12" width="12.42578125" style="23" hidden="1" customWidth="1"/>
    <col min="13" max="19" width="10.5703125" style="23" hidden="1" customWidth="1"/>
    <col min="20" max="20" width="10.7109375" style="23" hidden="1" customWidth="1"/>
    <col min="21" max="21" width="10.5703125" style="23" hidden="1" customWidth="1"/>
    <col min="22" max="22" width="15.28515625" style="23" hidden="1" customWidth="1"/>
    <col min="23" max="23" width="14.5703125" style="36" hidden="1" customWidth="1"/>
    <col min="24" max="29" width="4.85546875" style="5" hidden="1" customWidth="1"/>
    <col min="30" max="30" width="8.140625" style="5" hidden="1" customWidth="1"/>
    <col min="31" max="35" width="4.85546875" style="5" hidden="1" customWidth="1"/>
    <col min="36" max="36" width="14.28515625" style="9" hidden="1" customWidth="1"/>
    <col min="37" max="37" width="15.42578125" style="6" hidden="1" customWidth="1"/>
    <col min="38" max="38" width="39.5703125" style="17" customWidth="1"/>
    <col min="39" max="39" width="34.85546875" style="5" customWidth="1"/>
    <col min="40" max="40" width="44.85546875" style="17" customWidth="1"/>
    <col min="41" max="42" width="18.42578125" style="32" hidden="1" customWidth="1"/>
    <col min="43" max="44" width="17.85546875" style="5" customWidth="1"/>
    <col min="45" max="47" width="9.85546875" style="107"/>
    <col min="48" max="48" width="14" style="107" customWidth="1"/>
    <col min="49" max="16384" width="9.85546875" style="107"/>
  </cols>
  <sheetData>
    <row r="1" spans="1:48" ht="4.5" customHeight="1" x14ac:dyDescent="0.2"/>
    <row r="2" spans="1:48" ht="28.5" customHeight="1" x14ac:dyDescent="0.2">
      <c r="B2" s="255"/>
      <c r="C2" s="256"/>
      <c r="D2" s="256"/>
      <c r="E2" s="256"/>
      <c r="F2" s="257"/>
      <c r="G2" s="265" t="s">
        <v>2312</v>
      </c>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7"/>
      <c r="AV2" s="108" t="s">
        <v>2258</v>
      </c>
    </row>
    <row r="3" spans="1:48" ht="28.5" customHeight="1" x14ac:dyDescent="0.2">
      <c r="B3" s="258"/>
      <c r="C3" s="259"/>
      <c r="D3" s="259"/>
      <c r="E3" s="259"/>
      <c r="F3" s="260"/>
      <c r="G3" s="265" t="s">
        <v>2309</v>
      </c>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7"/>
      <c r="AV3" s="108" t="s">
        <v>2259</v>
      </c>
    </row>
    <row r="4" spans="1:48" ht="28.5" customHeight="1" x14ac:dyDescent="0.2">
      <c r="B4" s="258"/>
      <c r="C4" s="259"/>
      <c r="D4" s="259"/>
      <c r="E4" s="259"/>
      <c r="F4" s="260"/>
      <c r="G4" s="265" t="s">
        <v>2254</v>
      </c>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7"/>
      <c r="AV4" s="108" t="s">
        <v>2260</v>
      </c>
    </row>
    <row r="5" spans="1:48" ht="28.5" customHeight="1" x14ac:dyDescent="0.2">
      <c r="B5" s="261"/>
      <c r="C5" s="262"/>
      <c r="D5" s="262"/>
      <c r="E5" s="262"/>
      <c r="F5" s="263"/>
      <c r="G5" s="268" t="s">
        <v>2310</v>
      </c>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70"/>
      <c r="AI5" s="278" t="s">
        <v>2311</v>
      </c>
      <c r="AJ5" s="278"/>
      <c r="AK5" s="278"/>
      <c r="AL5" s="278"/>
      <c r="AM5" s="278"/>
      <c r="AN5" s="278"/>
      <c r="AO5" s="278"/>
      <c r="AP5" s="278"/>
      <c r="AV5" s="108" t="s">
        <v>2261</v>
      </c>
    </row>
    <row r="6" spans="1:48" ht="18" customHeight="1" x14ac:dyDescent="0.2">
      <c r="B6" s="264" t="s">
        <v>2431</v>
      </c>
      <c r="C6" s="264"/>
      <c r="D6" s="264"/>
      <c r="E6" s="264"/>
      <c r="F6" s="264"/>
      <c r="G6" s="271" t="s">
        <v>2432</v>
      </c>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3"/>
    </row>
    <row r="7" spans="1:48" ht="18" customHeight="1" x14ac:dyDescent="0.2">
      <c r="B7" s="264" t="s">
        <v>2430</v>
      </c>
      <c r="C7" s="264"/>
      <c r="D7" s="264"/>
      <c r="E7" s="264"/>
      <c r="F7" s="264"/>
      <c r="G7" s="274" t="s">
        <v>2442</v>
      </c>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6"/>
    </row>
    <row r="8" spans="1:48" ht="18" customHeight="1" x14ac:dyDescent="0.2">
      <c r="B8" s="264" t="s">
        <v>2268</v>
      </c>
      <c r="C8" s="264"/>
      <c r="D8" s="264"/>
      <c r="E8" s="264"/>
      <c r="F8" s="264"/>
      <c r="G8" s="277" t="s">
        <v>2461</v>
      </c>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6"/>
    </row>
    <row r="9" spans="1:48" ht="36" customHeight="1" x14ac:dyDescent="0.2">
      <c r="B9" s="235" t="s">
        <v>2472</v>
      </c>
      <c r="C9" s="236"/>
      <c r="D9" s="236"/>
      <c r="E9" s="237"/>
      <c r="F9" s="249" t="s">
        <v>2395</v>
      </c>
      <c r="G9" s="249"/>
      <c r="H9" s="249"/>
      <c r="I9" s="249"/>
      <c r="J9" s="248" t="s">
        <v>685</v>
      </c>
      <c r="K9" s="248"/>
      <c r="L9" s="248"/>
      <c r="M9" s="248"/>
      <c r="N9" s="248"/>
      <c r="O9" s="248"/>
      <c r="P9" s="248"/>
      <c r="Q9" s="248"/>
      <c r="R9" s="248"/>
      <c r="S9" s="248"/>
      <c r="T9" s="248"/>
      <c r="U9" s="248"/>
      <c r="V9" s="248"/>
      <c r="W9" s="248"/>
      <c r="X9" s="247" t="s">
        <v>2470</v>
      </c>
      <c r="Y9" s="286"/>
      <c r="Z9" s="286"/>
      <c r="AA9" s="286"/>
      <c r="AB9" s="286"/>
      <c r="AC9" s="286"/>
      <c r="AD9" s="286"/>
      <c r="AE9" s="286"/>
      <c r="AF9" s="286"/>
      <c r="AG9" s="286"/>
      <c r="AH9" s="286"/>
      <c r="AI9" s="286"/>
      <c r="AJ9" s="286"/>
      <c r="AK9" s="286"/>
      <c r="AL9" s="286"/>
      <c r="AM9" s="286"/>
      <c r="AN9" s="286"/>
      <c r="AO9" s="280" t="s">
        <v>2471</v>
      </c>
      <c r="AP9" s="281"/>
      <c r="AQ9" s="281"/>
      <c r="AR9" s="281"/>
    </row>
    <row r="10" spans="1:48" ht="36" customHeight="1" x14ac:dyDescent="0.2">
      <c r="B10" s="238"/>
      <c r="C10" s="239"/>
      <c r="D10" s="239"/>
      <c r="E10" s="240"/>
      <c r="F10" s="249"/>
      <c r="G10" s="249"/>
      <c r="H10" s="249"/>
      <c r="I10" s="249"/>
      <c r="J10" s="247" t="s">
        <v>2318</v>
      </c>
      <c r="K10" s="247"/>
      <c r="L10" s="247">
        <v>2020</v>
      </c>
      <c r="M10" s="247"/>
      <c r="N10" s="247">
        <v>2021</v>
      </c>
      <c r="O10" s="247"/>
      <c r="P10" s="247">
        <v>2022</v>
      </c>
      <c r="Q10" s="247"/>
      <c r="R10" s="247">
        <v>2023</v>
      </c>
      <c r="S10" s="247"/>
      <c r="T10" s="247">
        <v>2024</v>
      </c>
      <c r="U10" s="247"/>
      <c r="V10" s="251" t="s">
        <v>2240</v>
      </c>
      <c r="W10" s="250" t="s">
        <v>2255</v>
      </c>
      <c r="X10" s="286"/>
      <c r="Y10" s="286"/>
      <c r="Z10" s="286"/>
      <c r="AA10" s="286"/>
      <c r="AB10" s="286"/>
      <c r="AC10" s="286"/>
      <c r="AD10" s="286"/>
      <c r="AE10" s="286"/>
      <c r="AF10" s="286"/>
      <c r="AG10" s="286"/>
      <c r="AH10" s="286"/>
      <c r="AI10" s="286"/>
      <c r="AJ10" s="286"/>
      <c r="AK10" s="286"/>
      <c r="AL10" s="286"/>
      <c r="AM10" s="286"/>
      <c r="AN10" s="286"/>
      <c r="AO10" s="282"/>
      <c r="AP10" s="283"/>
      <c r="AQ10" s="283"/>
      <c r="AR10" s="283"/>
    </row>
    <row r="11" spans="1:48" s="109" customFormat="1" ht="51.75" customHeight="1" x14ac:dyDescent="0.2">
      <c r="A11" s="8"/>
      <c r="B11" s="242" t="s">
        <v>2262</v>
      </c>
      <c r="C11" s="43" t="s">
        <v>2274</v>
      </c>
      <c r="D11" s="7" t="s">
        <v>2396</v>
      </c>
      <c r="E11" s="7" t="s">
        <v>2263</v>
      </c>
      <c r="F11" s="22" t="s">
        <v>2317</v>
      </c>
      <c r="G11" s="22" t="s">
        <v>2316</v>
      </c>
      <c r="H11" s="22" t="s">
        <v>2238</v>
      </c>
      <c r="I11" s="22" t="s">
        <v>2239</v>
      </c>
      <c r="J11" s="30" t="s">
        <v>2257</v>
      </c>
      <c r="K11" s="28" t="s">
        <v>2256</v>
      </c>
      <c r="L11" s="24" t="s">
        <v>692</v>
      </c>
      <c r="M11" s="24" t="s">
        <v>2234</v>
      </c>
      <c r="N11" s="24" t="s">
        <v>692</v>
      </c>
      <c r="O11" s="24" t="s">
        <v>2234</v>
      </c>
      <c r="P11" s="24" t="s">
        <v>692</v>
      </c>
      <c r="Q11" s="24" t="s">
        <v>2234</v>
      </c>
      <c r="R11" s="24" t="s">
        <v>692</v>
      </c>
      <c r="S11" s="24" t="s">
        <v>2234</v>
      </c>
      <c r="T11" s="24" t="s">
        <v>692</v>
      </c>
      <c r="U11" s="24" t="s">
        <v>2234</v>
      </c>
      <c r="V11" s="252"/>
      <c r="W11" s="250"/>
      <c r="X11" s="21" t="s">
        <v>2241</v>
      </c>
      <c r="Y11" s="21" t="s">
        <v>2242</v>
      </c>
      <c r="Z11" s="21" t="s">
        <v>2243</v>
      </c>
      <c r="AA11" s="21" t="s">
        <v>2244</v>
      </c>
      <c r="AB11" s="21" t="s">
        <v>2245</v>
      </c>
      <c r="AC11" s="21" t="s">
        <v>2246</v>
      </c>
      <c r="AD11" s="21" t="s">
        <v>2247</v>
      </c>
      <c r="AE11" s="21" t="s">
        <v>2248</v>
      </c>
      <c r="AF11" s="21" t="s">
        <v>2249</v>
      </c>
      <c r="AG11" s="21" t="s">
        <v>2250</v>
      </c>
      <c r="AH11" s="21" t="s">
        <v>2251</v>
      </c>
      <c r="AI11" s="21" t="s">
        <v>2252</v>
      </c>
      <c r="AJ11" s="20" t="s">
        <v>2266</v>
      </c>
      <c r="AK11" s="20" t="s">
        <v>2253</v>
      </c>
      <c r="AL11" s="18" t="s">
        <v>2264</v>
      </c>
      <c r="AM11" s="20" t="s">
        <v>2267</v>
      </c>
      <c r="AN11" s="18" t="s">
        <v>2265</v>
      </c>
      <c r="AO11" s="33" t="s">
        <v>2314</v>
      </c>
      <c r="AP11" s="33" t="s">
        <v>2315</v>
      </c>
      <c r="AQ11" s="67" t="s">
        <v>2473</v>
      </c>
      <c r="AR11" s="106" t="s">
        <v>2474</v>
      </c>
    </row>
    <row r="12" spans="1:48" s="16" customFormat="1" ht="134.25" customHeight="1" x14ac:dyDescent="0.2">
      <c r="A12" s="9"/>
      <c r="B12" s="243"/>
      <c r="C12" s="93" t="s">
        <v>2272</v>
      </c>
      <c r="D12" s="91" t="s">
        <v>2433</v>
      </c>
      <c r="E12" s="91" t="s">
        <v>2397</v>
      </c>
      <c r="F12" s="91" t="s">
        <v>2359</v>
      </c>
      <c r="G12" s="91" t="s">
        <v>2358</v>
      </c>
      <c r="H12" s="91" t="s">
        <v>2360</v>
      </c>
      <c r="I12" s="125" t="s">
        <v>2269</v>
      </c>
      <c r="J12" s="126" t="s">
        <v>2261</v>
      </c>
      <c r="K12" s="147">
        <v>146</v>
      </c>
      <c r="L12" s="46">
        <v>7.02</v>
      </c>
      <c r="M12" s="46">
        <v>0</v>
      </c>
      <c r="N12" s="47">
        <v>21.21</v>
      </c>
      <c r="O12" s="47">
        <v>9.8000000000000007</v>
      </c>
      <c r="P12" s="47">
        <v>58</v>
      </c>
      <c r="Q12" s="47"/>
      <c r="R12" s="47">
        <v>43.77</v>
      </c>
      <c r="S12" s="47"/>
      <c r="T12" s="47">
        <v>16</v>
      </c>
      <c r="U12" s="47"/>
      <c r="V12" s="142">
        <f>L12+N12+R12+P12+T12</f>
        <v>146</v>
      </c>
      <c r="W12" s="118">
        <f>O12/V12</f>
        <v>6.7123287671232879E-2</v>
      </c>
      <c r="X12" s="181">
        <f>O12</f>
        <v>9.8000000000000007</v>
      </c>
      <c r="Y12" s="182"/>
      <c r="Z12" s="183"/>
      <c r="AA12" s="288">
        <v>9.8000000000000007</v>
      </c>
      <c r="AB12" s="289"/>
      <c r="AC12" s="290"/>
      <c r="AD12" s="208">
        <v>0</v>
      </c>
      <c r="AE12" s="209"/>
      <c r="AF12" s="210"/>
      <c r="AG12" s="208">
        <v>0</v>
      </c>
      <c r="AH12" s="209"/>
      <c r="AI12" s="210"/>
      <c r="AJ12" s="148">
        <f>MAX(X12:AI12)</f>
        <v>9.8000000000000007</v>
      </c>
      <c r="AK12" s="118">
        <f>X12/N12</f>
        <v>0.46204620462046209</v>
      </c>
      <c r="AL12" s="184" t="s">
        <v>2514</v>
      </c>
      <c r="AM12" s="175" t="s">
        <v>2475</v>
      </c>
      <c r="AN12" s="184" t="s">
        <v>2515</v>
      </c>
      <c r="AO12" s="76">
        <v>576083</v>
      </c>
      <c r="AP12" s="76">
        <v>175640</v>
      </c>
      <c r="AQ12" s="293">
        <v>1048609</v>
      </c>
      <c r="AR12" s="293">
        <v>182270</v>
      </c>
    </row>
    <row r="13" spans="1:48" s="16" customFormat="1" ht="134.25" customHeight="1" x14ac:dyDescent="0.2">
      <c r="A13" s="9"/>
      <c r="B13" s="243"/>
      <c r="C13" s="93" t="s">
        <v>2272</v>
      </c>
      <c r="D13" s="91" t="s">
        <v>2433</v>
      </c>
      <c r="E13" s="91" t="s">
        <v>2397</v>
      </c>
      <c r="F13" s="91" t="s">
        <v>2582</v>
      </c>
      <c r="G13" s="91" t="s">
        <v>2358</v>
      </c>
      <c r="H13" s="91" t="s">
        <v>2581</v>
      </c>
      <c r="I13" s="125" t="s">
        <v>2269</v>
      </c>
      <c r="J13" s="126" t="s">
        <v>2261</v>
      </c>
      <c r="K13" s="147">
        <v>100</v>
      </c>
      <c r="L13" s="46">
        <v>0</v>
      </c>
      <c r="M13" s="46">
        <v>0</v>
      </c>
      <c r="N13" s="47">
        <v>50</v>
      </c>
      <c r="O13" s="47">
        <v>0</v>
      </c>
      <c r="P13" s="47">
        <v>35</v>
      </c>
      <c r="Q13" s="47">
        <v>0</v>
      </c>
      <c r="R13" s="47">
        <v>15</v>
      </c>
      <c r="S13" s="47">
        <v>0</v>
      </c>
      <c r="T13" s="47">
        <v>0</v>
      </c>
      <c r="U13" s="47">
        <v>0</v>
      </c>
      <c r="V13" s="142">
        <v>0</v>
      </c>
      <c r="W13" s="118">
        <v>0</v>
      </c>
      <c r="X13" s="181">
        <v>0</v>
      </c>
      <c r="Y13" s="182"/>
      <c r="Z13" s="183"/>
      <c r="AA13" s="181">
        <v>0</v>
      </c>
      <c r="AB13" s="182"/>
      <c r="AC13" s="183"/>
      <c r="AD13" s="291"/>
      <c r="AE13" s="291"/>
      <c r="AF13" s="291"/>
      <c r="AG13" s="291"/>
      <c r="AH13" s="291"/>
      <c r="AI13" s="291"/>
      <c r="AJ13" s="149">
        <v>0</v>
      </c>
      <c r="AK13" s="149">
        <v>0</v>
      </c>
      <c r="AL13" s="185"/>
      <c r="AM13" s="176"/>
      <c r="AN13" s="185"/>
      <c r="AO13" s="76"/>
      <c r="AP13" s="76"/>
      <c r="AQ13" s="293"/>
      <c r="AR13" s="293"/>
    </row>
    <row r="14" spans="1:48" s="110" customFormat="1" ht="52.5" customHeight="1" x14ac:dyDescent="0.2">
      <c r="A14" s="50"/>
      <c r="B14" s="243"/>
      <c r="C14" s="230" t="s">
        <v>2272</v>
      </c>
      <c r="D14" s="193" t="s">
        <v>2433</v>
      </c>
      <c r="E14" s="193" t="s">
        <v>2397</v>
      </c>
      <c r="F14" s="193" t="s">
        <v>2343</v>
      </c>
      <c r="G14" s="99" t="s">
        <v>2344</v>
      </c>
      <c r="H14" s="193" t="s">
        <v>2346</v>
      </c>
      <c r="I14" s="125" t="s">
        <v>2235</v>
      </c>
      <c r="J14" s="126" t="s">
        <v>2261</v>
      </c>
      <c r="K14" s="150">
        <v>56</v>
      </c>
      <c r="L14" s="128">
        <v>25.16</v>
      </c>
      <c r="M14" s="46">
        <v>25.16</v>
      </c>
      <c r="N14" s="128">
        <v>15</v>
      </c>
      <c r="O14" s="128">
        <v>11.77</v>
      </c>
      <c r="P14" s="128">
        <v>7</v>
      </c>
      <c r="Q14" s="128"/>
      <c r="R14" s="128">
        <v>6.84</v>
      </c>
      <c r="S14" s="128"/>
      <c r="T14" s="128">
        <v>2</v>
      </c>
      <c r="U14" s="128">
        <v>0</v>
      </c>
      <c r="V14" s="142">
        <f>M14+O14+S14+Q14+U14</f>
        <v>36.93</v>
      </c>
      <c r="W14" s="118">
        <f>(V14/K14)</f>
        <v>0.65946428571428573</v>
      </c>
      <c r="X14" s="181">
        <v>10.84</v>
      </c>
      <c r="Y14" s="182"/>
      <c r="Z14" s="183"/>
      <c r="AA14" s="196">
        <v>11.77</v>
      </c>
      <c r="AB14" s="197"/>
      <c r="AC14" s="198"/>
      <c r="AD14" s="208">
        <v>0</v>
      </c>
      <c r="AE14" s="209"/>
      <c r="AF14" s="210"/>
      <c r="AG14" s="208">
        <v>0</v>
      </c>
      <c r="AH14" s="209"/>
      <c r="AI14" s="210"/>
      <c r="AJ14" s="148">
        <f>MAX(X14:AI14)</f>
        <v>11.77</v>
      </c>
      <c r="AK14" s="118">
        <f>AA14/N14</f>
        <v>0.78466666666666662</v>
      </c>
      <c r="AL14" s="284" t="s">
        <v>2516</v>
      </c>
      <c r="AM14" s="184" t="s">
        <v>2476</v>
      </c>
      <c r="AN14" s="184" t="s">
        <v>2517</v>
      </c>
      <c r="AO14" s="77">
        <v>364</v>
      </c>
      <c r="AP14" s="77">
        <v>118</v>
      </c>
      <c r="AQ14" s="151">
        <v>314</v>
      </c>
      <c r="AR14" s="151">
        <v>193</v>
      </c>
    </row>
    <row r="15" spans="1:48" s="110" customFormat="1" ht="52.5" customHeight="1" x14ac:dyDescent="0.2">
      <c r="A15" s="50"/>
      <c r="B15" s="243"/>
      <c r="C15" s="231"/>
      <c r="D15" s="194"/>
      <c r="E15" s="194"/>
      <c r="F15" s="194"/>
      <c r="G15" s="99" t="s">
        <v>2344</v>
      </c>
      <c r="H15" s="194"/>
      <c r="I15" s="125" t="s">
        <v>2269</v>
      </c>
      <c r="J15" s="126" t="s">
        <v>2261</v>
      </c>
      <c r="K15" s="150">
        <v>224</v>
      </c>
      <c r="L15" s="128">
        <v>3.87</v>
      </c>
      <c r="M15" s="46">
        <v>0</v>
      </c>
      <c r="N15" s="128">
        <v>7.9</v>
      </c>
      <c r="O15" s="128">
        <v>2.83</v>
      </c>
      <c r="P15" s="128">
        <v>93</v>
      </c>
      <c r="Q15" s="128"/>
      <c r="R15" s="128">
        <v>54.13</v>
      </c>
      <c r="S15" s="128"/>
      <c r="T15" s="128">
        <v>65.099999999999994</v>
      </c>
      <c r="U15" s="128"/>
      <c r="V15" s="142">
        <f>M15+O15+S15+Q15+U15</f>
        <v>2.83</v>
      </c>
      <c r="W15" s="118">
        <f>(V15/220.13)</f>
        <v>1.2856039612955981E-2</v>
      </c>
      <c r="X15" s="181">
        <v>0.87</v>
      </c>
      <c r="Y15" s="182"/>
      <c r="Z15" s="183"/>
      <c r="AA15" s="196">
        <v>2.83</v>
      </c>
      <c r="AB15" s="197"/>
      <c r="AC15" s="198"/>
      <c r="AD15" s="208">
        <v>0</v>
      </c>
      <c r="AE15" s="209"/>
      <c r="AF15" s="210"/>
      <c r="AG15" s="208">
        <v>0</v>
      </c>
      <c r="AH15" s="209"/>
      <c r="AI15" s="210"/>
      <c r="AJ15" s="152">
        <f>MAX(X15:AI15)</f>
        <v>2.83</v>
      </c>
      <c r="AK15" s="118">
        <f>AA15/N15</f>
        <v>0.35822784810126579</v>
      </c>
      <c r="AL15" s="285"/>
      <c r="AM15" s="185"/>
      <c r="AN15" s="185"/>
      <c r="AO15" s="77">
        <v>25610</v>
      </c>
      <c r="AP15" s="77">
        <v>25501</v>
      </c>
      <c r="AQ15" s="153">
        <v>29121</v>
      </c>
      <c r="AR15" s="153">
        <v>1888</v>
      </c>
    </row>
    <row r="16" spans="1:48" s="110" customFormat="1" ht="52.5" customHeight="1" x14ac:dyDescent="0.2">
      <c r="A16" s="50"/>
      <c r="B16" s="243"/>
      <c r="C16" s="232" t="s">
        <v>2272</v>
      </c>
      <c r="D16" s="279" t="s">
        <v>2433</v>
      </c>
      <c r="E16" s="246" t="s">
        <v>2397</v>
      </c>
      <c r="F16" s="125" t="s">
        <v>2454</v>
      </c>
      <c r="G16" s="139" t="s">
        <v>2362</v>
      </c>
      <c r="H16" s="125" t="s">
        <v>2453</v>
      </c>
      <c r="I16" s="91" t="s">
        <v>2269</v>
      </c>
      <c r="J16" s="126" t="s">
        <v>2261</v>
      </c>
      <c r="K16" s="68">
        <f t="shared" ref="K16:K17" si="0">+L16+N16+P16+R16+T16</f>
        <v>12</v>
      </c>
      <c r="L16" s="121">
        <v>0</v>
      </c>
      <c r="M16" s="46">
        <v>0</v>
      </c>
      <c r="N16" s="121">
        <v>1</v>
      </c>
      <c r="O16" s="121">
        <v>0</v>
      </c>
      <c r="P16" s="121">
        <v>5</v>
      </c>
      <c r="Q16" s="128"/>
      <c r="R16" s="128">
        <v>3</v>
      </c>
      <c r="S16" s="128"/>
      <c r="T16" s="128">
        <v>3</v>
      </c>
      <c r="U16" s="128"/>
      <c r="V16" s="141">
        <v>0</v>
      </c>
      <c r="W16" s="118" t="e">
        <f>O16/V16</f>
        <v>#DIV/0!</v>
      </c>
      <c r="X16" s="181">
        <v>0</v>
      </c>
      <c r="Y16" s="182"/>
      <c r="Z16" s="183"/>
      <c r="AA16" s="208">
        <v>0</v>
      </c>
      <c r="AB16" s="209"/>
      <c r="AC16" s="210"/>
      <c r="AD16" s="208">
        <v>0</v>
      </c>
      <c r="AE16" s="209"/>
      <c r="AF16" s="210"/>
      <c r="AG16" s="208">
        <v>0</v>
      </c>
      <c r="AH16" s="209"/>
      <c r="AI16" s="210"/>
      <c r="AJ16" s="155">
        <f>AD16+AG16+AA16+X16</f>
        <v>0</v>
      </c>
      <c r="AK16" s="48">
        <f>X16/N16</f>
        <v>0</v>
      </c>
      <c r="AL16" s="184" t="s">
        <v>2518</v>
      </c>
      <c r="AM16" s="184" t="s">
        <v>2477</v>
      </c>
      <c r="AN16" s="184" t="s">
        <v>2519</v>
      </c>
      <c r="AO16" s="287">
        <v>45588</v>
      </c>
      <c r="AP16" s="287">
        <v>35885</v>
      </c>
      <c r="AQ16" s="294">
        <v>82312</v>
      </c>
      <c r="AR16" s="294">
        <v>0</v>
      </c>
    </row>
    <row r="17" spans="1:44" s="110" customFormat="1" ht="52.5" customHeight="1" x14ac:dyDescent="0.2">
      <c r="A17" s="50"/>
      <c r="B17" s="243"/>
      <c r="C17" s="233"/>
      <c r="D17" s="279"/>
      <c r="E17" s="246"/>
      <c r="F17" s="125" t="s">
        <v>2361</v>
      </c>
      <c r="G17" s="139" t="s">
        <v>2362</v>
      </c>
      <c r="H17" s="125" t="s">
        <v>2351</v>
      </c>
      <c r="I17" s="91" t="s">
        <v>2269</v>
      </c>
      <c r="J17" s="126" t="s">
        <v>2261</v>
      </c>
      <c r="K17" s="68">
        <f t="shared" si="0"/>
        <v>17</v>
      </c>
      <c r="L17" s="121">
        <v>0</v>
      </c>
      <c r="M17" s="46">
        <f>AD17+AG17</f>
        <v>0</v>
      </c>
      <c r="N17" s="121">
        <v>6</v>
      </c>
      <c r="O17" s="121">
        <v>0</v>
      </c>
      <c r="P17" s="121">
        <v>6</v>
      </c>
      <c r="Q17" s="128"/>
      <c r="R17" s="128">
        <v>4</v>
      </c>
      <c r="S17" s="128"/>
      <c r="T17" s="128">
        <v>1</v>
      </c>
      <c r="U17" s="128"/>
      <c r="V17" s="141">
        <v>0</v>
      </c>
      <c r="W17" s="118" t="e">
        <f>O17/V17</f>
        <v>#DIV/0!</v>
      </c>
      <c r="X17" s="181">
        <v>0</v>
      </c>
      <c r="Y17" s="182"/>
      <c r="Z17" s="183"/>
      <c r="AA17" s="208">
        <v>0</v>
      </c>
      <c r="AB17" s="209"/>
      <c r="AC17" s="210"/>
      <c r="AD17" s="208">
        <v>0</v>
      </c>
      <c r="AE17" s="209"/>
      <c r="AF17" s="210"/>
      <c r="AG17" s="208">
        <v>0</v>
      </c>
      <c r="AH17" s="209"/>
      <c r="AI17" s="210"/>
      <c r="AJ17" s="155">
        <f>AD17+AG17+AA17+X17</f>
        <v>0</v>
      </c>
      <c r="AK17" s="118">
        <f>X17/N17</f>
        <v>0</v>
      </c>
      <c r="AL17" s="185"/>
      <c r="AM17" s="185"/>
      <c r="AN17" s="195"/>
      <c r="AO17" s="287"/>
      <c r="AP17" s="287"/>
      <c r="AQ17" s="294"/>
      <c r="AR17" s="294"/>
    </row>
    <row r="18" spans="1:44" s="110" customFormat="1" ht="138.75" customHeight="1" x14ac:dyDescent="0.2">
      <c r="A18" s="50"/>
      <c r="B18" s="243"/>
      <c r="C18" s="124" t="s">
        <v>2272</v>
      </c>
      <c r="D18" s="91" t="s">
        <v>2433</v>
      </c>
      <c r="E18" s="91" t="s">
        <v>2397</v>
      </c>
      <c r="F18" s="158" t="s">
        <v>2383</v>
      </c>
      <c r="G18" s="125" t="s">
        <v>2382</v>
      </c>
      <c r="H18" s="125" t="s">
        <v>2384</v>
      </c>
      <c r="I18" s="125" t="s">
        <v>2269</v>
      </c>
      <c r="J18" s="126" t="s">
        <v>2261</v>
      </c>
      <c r="K18" s="150">
        <f t="shared" ref="K18" si="1">+L18+N18+P18+R18+T18</f>
        <v>360</v>
      </c>
      <c r="L18" s="128">
        <v>31.28</v>
      </c>
      <c r="M18" s="46">
        <v>14.68</v>
      </c>
      <c r="N18" s="128">
        <v>16.100000000000001</v>
      </c>
      <c r="O18" s="128">
        <v>0.13</v>
      </c>
      <c r="P18" s="128">
        <v>89</v>
      </c>
      <c r="Q18" s="128"/>
      <c r="R18" s="128">
        <v>89</v>
      </c>
      <c r="S18" s="128"/>
      <c r="T18" s="128">
        <v>134.62</v>
      </c>
      <c r="U18" s="128"/>
      <c r="V18" s="143">
        <f>M18+O18+S18+Q18+U18</f>
        <v>14.81</v>
      </c>
      <c r="W18" s="118">
        <f>(M18+O18)/343.4</f>
        <v>4.3127548048922541E-2</v>
      </c>
      <c r="X18" s="181">
        <v>0.13</v>
      </c>
      <c r="Y18" s="182"/>
      <c r="Z18" s="183"/>
      <c r="AA18" s="181">
        <v>0.13</v>
      </c>
      <c r="AB18" s="182"/>
      <c r="AC18" s="183"/>
      <c r="AD18" s="208">
        <v>0</v>
      </c>
      <c r="AE18" s="209"/>
      <c r="AF18" s="210"/>
      <c r="AG18" s="208">
        <v>0</v>
      </c>
      <c r="AH18" s="209"/>
      <c r="AI18" s="210"/>
      <c r="AJ18" s="148">
        <f>+AA18</f>
        <v>0.13</v>
      </c>
      <c r="AK18" s="118">
        <f>AJ18/N18</f>
        <v>8.0745341614906832E-3</v>
      </c>
      <c r="AL18" s="158" t="s">
        <v>2547</v>
      </c>
      <c r="AM18" s="49" t="s">
        <v>2478</v>
      </c>
      <c r="AN18" s="158" t="s">
        <v>2479</v>
      </c>
      <c r="AO18" s="95">
        <v>29975</v>
      </c>
      <c r="AP18" s="95">
        <v>29973</v>
      </c>
      <c r="AQ18" s="162">
        <v>67953</v>
      </c>
      <c r="AR18" s="162">
        <v>0</v>
      </c>
    </row>
    <row r="19" spans="1:44" s="110" customFormat="1" ht="129.75" customHeight="1" x14ac:dyDescent="0.2">
      <c r="A19" s="50"/>
      <c r="B19" s="243"/>
      <c r="C19" s="97" t="s">
        <v>2271</v>
      </c>
      <c r="D19" s="91" t="s">
        <v>2433</v>
      </c>
      <c r="E19" s="91" t="s">
        <v>2397</v>
      </c>
      <c r="F19" s="92" t="s">
        <v>2363</v>
      </c>
      <c r="G19" s="92" t="s">
        <v>2364</v>
      </c>
      <c r="H19" s="92" t="s">
        <v>2365</v>
      </c>
      <c r="I19" s="92" t="s">
        <v>2235</v>
      </c>
      <c r="J19" s="126" t="s">
        <v>2258</v>
      </c>
      <c r="K19" s="150">
        <v>1</v>
      </c>
      <c r="L19" s="128">
        <v>0</v>
      </c>
      <c r="M19" s="46">
        <v>0</v>
      </c>
      <c r="N19" s="128">
        <v>1</v>
      </c>
      <c r="O19" s="128">
        <v>0.21</v>
      </c>
      <c r="P19" s="128">
        <v>1</v>
      </c>
      <c r="Q19" s="128"/>
      <c r="R19" s="128">
        <v>1</v>
      </c>
      <c r="S19" s="128"/>
      <c r="T19" s="128">
        <v>1</v>
      </c>
      <c r="U19" s="128"/>
      <c r="V19" s="156">
        <f>M19+O19+Q19+S19+U19</f>
        <v>0.21</v>
      </c>
      <c r="W19" s="157">
        <f>0.21/4</f>
        <v>5.2499999999999998E-2</v>
      </c>
      <c r="X19" s="181">
        <v>0.06</v>
      </c>
      <c r="Y19" s="182"/>
      <c r="Z19" s="183"/>
      <c r="AA19" s="196">
        <v>0.21</v>
      </c>
      <c r="AB19" s="197"/>
      <c r="AC19" s="198"/>
      <c r="AD19" s="208">
        <v>0</v>
      </c>
      <c r="AE19" s="209"/>
      <c r="AF19" s="210"/>
      <c r="AG19" s="208">
        <v>0</v>
      </c>
      <c r="AH19" s="209"/>
      <c r="AI19" s="210"/>
      <c r="AJ19" s="148">
        <f>MAX(X19:AI19)</f>
        <v>0.21</v>
      </c>
      <c r="AK19" s="48">
        <f>AJ19/N19</f>
        <v>0.21</v>
      </c>
      <c r="AL19" s="158" t="s">
        <v>2520</v>
      </c>
      <c r="AM19" s="49" t="s">
        <v>2480</v>
      </c>
      <c r="AN19" s="49" t="s">
        <v>2521</v>
      </c>
      <c r="AO19" s="77">
        <v>121</v>
      </c>
      <c r="AP19" s="77">
        <v>121</v>
      </c>
      <c r="AQ19" s="151">
        <v>273</v>
      </c>
      <c r="AR19" s="151">
        <v>90</v>
      </c>
    </row>
    <row r="20" spans="1:44" s="110" customFormat="1" ht="51" customHeight="1" x14ac:dyDescent="0.2">
      <c r="A20" s="50"/>
      <c r="B20" s="243"/>
      <c r="C20" s="230" t="s">
        <v>2398</v>
      </c>
      <c r="D20" s="193" t="s">
        <v>2433</v>
      </c>
      <c r="E20" s="193" t="s">
        <v>2397</v>
      </c>
      <c r="F20" s="193" t="s">
        <v>2325</v>
      </c>
      <c r="G20" s="99" t="s">
        <v>2324</v>
      </c>
      <c r="H20" s="193" t="s">
        <v>2345</v>
      </c>
      <c r="I20" s="125" t="s">
        <v>2235</v>
      </c>
      <c r="J20" s="126" t="s">
        <v>2261</v>
      </c>
      <c r="K20" s="68">
        <f>+L20+N20+P20+R20+T20</f>
        <v>20</v>
      </c>
      <c r="L20" s="121">
        <v>4.99</v>
      </c>
      <c r="M20" s="46">
        <v>4.99</v>
      </c>
      <c r="N20" s="121">
        <v>2</v>
      </c>
      <c r="O20" s="121">
        <v>0.04</v>
      </c>
      <c r="P20" s="121">
        <v>6</v>
      </c>
      <c r="Q20" s="128"/>
      <c r="R20" s="121">
        <v>5</v>
      </c>
      <c r="S20" s="128"/>
      <c r="T20" s="121">
        <v>2.0099999999999998</v>
      </c>
      <c r="U20" s="128"/>
      <c r="V20" s="142">
        <f>M20+O20+S20+Q20+U20</f>
        <v>5.03</v>
      </c>
      <c r="W20" s="118">
        <f>(V20/K20)</f>
        <v>0.2515</v>
      </c>
      <c r="X20" s="181">
        <v>0.04</v>
      </c>
      <c r="Y20" s="182"/>
      <c r="Z20" s="183"/>
      <c r="AA20" s="199">
        <v>0.04</v>
      </c>
      <c r="AB20" s="200"/>
      <c r="AC20" s="201"/>
      <c r="AD20" s="208">
        <v>0</v>
      </c>
      <c r="AE20" s="209"/>
      <c r="AF20" s="210"/>
      <c r="AG20" s="208">
        <v>0</v>
      </c>
      <c r="AH20" s="209"/>
      <c r="AI20" s="210"/>
      <c r="AJ20" s="138">
        <f t="shared" ref="AJ20:AJ21" si="2">MAX(X20:AI20)</f>
        <v>0.04</v>
      </c>
      <c r="AK20" s="48">
        <f>X20/N20</f>
        <v>0.02</v>
      </c>
      <c r="AL20" s="184" t="s">
        <v>2522</v>
      </c>
      <c r="AM20" s="184" t="s">
        <v>2523</v>
      </c>
      <c r="AN20" s="184" t="s">
        <v>2524</v>
      </c>
      <c r="AO20" s="78">
        <v>321</v>
      </c>
      <c r="AP20" s="78">
        <v>110</v>
      </c>
      <c r="AQ20" s="82">
        <v>757</v>
      </c>
      <c r="AR20" s="82">
        <v>646</v>
      </c>
    </row>
    <row r="21" spans="1:44" s="110" customFormat="1" ht="51" customHeight="1" x14ac:dyDescent="0.2">
      <c r="A21" s="50"/>
      <c r="B21" s="243"/>
      <c r="C21" s="241"/>
      <c r="D21" s="214"/>
      <c r="E21" s="214"/>
      <c r="F21" s="214"/>
      <c r="G21" s="99" t="s">
        <v>2324</v>
      </c>
      <c r="H21" s="214"/>
      <c r="I21" s="125" t="s">
        <v>2269</v>
      </c>
      <c r="J21" s="126" t="s">
        <v>2261</v>
      </c>
      <c r="K21" s="68">
        <v>110</v>
      </c>
      <c r="L21" s="121">
        <v>10.96</v>
      </c>
      <c r="M21" s="46">
        <v>0</v>
      </c>
      <c r="N21" s="121">
        <v>7.56</v>
      </c>
      <c r="O21" s="121">
        <v>1.03</v>
      </c>
      <c r="P21" s="121">
        <v>38</v>
      </c>
      <c r="Q21" s="128"/>
      <c r="R21" s="121">
        <v>29.81</v>
      </c>
      <c r="S21" s="128"/>
      <c r="T21" s="121">
        <v>23.67</v>
      </c>
      <c r="U21" s="128"/>
      <c r="V21" s="142">
        <f>M21+O21+S21+Q21+U21</f>
        <v>1.03</v>
      </c>
      <c r="W21" s="118">
        <f>(V21/99.04)</f>
        <v>1.039983844911147E-2</v>
      </c>
      <c r="X21" s="181">
        <v>0.61</v>
      </c>
      <c r="Y21" s="182"/>
      <c r="Z21" s="183"/>
      <c r="AA21" s="199">
        <v>1.03</v>
      </c>
      <c r="AB21" s="200"/>
      <c r="AC21" s="201"/>
      <c r="AD21" s="208">
        <v>0</v>
      </c>
      <c r="AE21" s="209"/>
      <c r="AF21" s="210"/>
      <c r="AG21" s="208">
        <v>0</v>
      </c>
      <c r="AH21" s="209"/>
      <c r="AI21" s="210"/>
      <c r="AJ21" s="138">
        <f t="shared" si="2"/>
        <v>1.03</v>
      </c>
      <c r="AK21" s="118">
        <f>AJ21/N21</f>
        <v>0.13624338624338625</v>
      </c>
      <c r="AL21" s="195"/>
      <c r="AM21" s="195"/>
      <c r="AN21" s="195"/>
      <c r="AO21" s="78">
        <v>250</v>
      </c>
      <c r="AP21" s="78">
        <v>250</v>
      </c>
      <c r="AQ21" s="82">
        <v>56455</v>
      </c>
      <c r="AR21" s="82">
        <v>0</v>
      </c>
    </row>
    <row r="22" spans="1:44" s="110" customFormat="1" ht="51" customHeight="1" x14ac:dyDescent="0.2">
      <c r="A22" s="50"/>
      <c r="B22" s="243"/>
      <c r="C22" s="231"/>
      <c r="D22" s="194"/>
      <c r="E22" s="194"/>
      <c r="F22" s="194"/>
      <c r="G22" s="99" t="s">
        <v>2324</v>
      </c>
      <c r="H22" s="194"/>
      <c r="I22" s="125" t="s">
        <v>2270</v>
      </c>
      <c r="J22" s="126" t="s">
        <v>2261</v>
      </c>
      <c r="K22" s="68">
        <v>60</v>
      </c>
      <c r="L22" s="121">
        <v>8.73</v>
      </c>
      <c r="M22" s="46">
        <v>8.73</v>
      </c>
      <c r="N22" s="121">
        <v>16.5</v>
      </c>
      <c r="O22" s="121">
        <v>0.61</v>
      </c>
      <c r="P22" s="121">
        <v>16.5</v>
      </c>
      <c r="Q22" s="128"/>
      <c r="R22" s="121">
        <v>16.5</v>
      </c>
      <c r="S22" s="128"/>
      <c r="T22" s="121">
        <v>3.5</v>
      </c>
      <c r="U22" s="128"/>
      <c r="V22" s="142">
        <f t="shared" ref="V22" si="3">M22+O22+S22+Q22+U22</f>
        <v>9.34</v>
      </c>
      <c r="W22" s="118">
        <f>(V22/61.73)</f>
        <v>0.15130406609428154</v>
      </c>
      <c r="X22" s="181">
        <v>0.11</v>
      </c>
      <c r="Y22" s="182"/>
      <c r="Z22" s="183"/>
      <c r="AA22" s="202">
        <v>0.61</v>
      </c>
      <c r="AB22" s="203"/>
      <c r="AC22" s="204"/>
      <c r="AD22" s="208">
        <v>0</v>
      </c>
      <c r="AE22" s="209"/>
      <c r="AF22" s="210"/>
      <c r="AG22" s="208">
        <v>0</v>
      </c>
      <c r="AH22" s="209"/>
      <c r="AI22" s="210"/>
      <c r="AJ22" s="138">
        <f>MAX(X22:AI22)</f>
        <v>0.61</v>
      </c>
      <c r="AK22" s="118">
        <f>AJ22/N22</f>
        <v>3.6969696969696972E-2</v>
      </c>
      <c r="AL22" s="185"/>
      <c r="AM22" s="185"/>
      <c r="AN22" s="185"/>
      <c r="AO22" s="78">
        <v>323</v>
      </c>
      <c r="AP22" s="78">
        <v>303</v>
      </c>
      <c r="AQ22" s="82">
        <v>8226</v>
      </c>
      <c r="AR22" s="82">
        <v>3406</v>
      </c>
    </row>
    <row r="23" spans="1:44" s="110" customFormat="1" ht="48.75" customHeight="1" x14ac:dyDescent="0.2">
      <c r="A23" s="50"/>
      <c r="B23" s="243"/>
      <c r="C23" s="230" t="s">
        <v>2272</v>
      </c>
      <c r="D23" s="193" t="s">
        <v>2433</v>
      </c>
      <c r="E23" s="91"/>
      <c r="F23" s="193" t="s">
        <v>2326</v>
      </c>
      <c r="G23" s="99" t="s">
        <v>2327</v>
      </c>
      <c r="H23" s="193" t="s">
        <v>2328</v>
      </c>
      <c r="I23" s="125" t="s">
        <v>2269</v>
      </c>
      <c r="J23" s="126" t="s">
        <v>2261</v>
      </c>
      <c r="K23" s="68">
        <f>L23+N23+P23+R23+T23</f>
        <v>1222.55</v>
      </c>
      <c r="L23" s="121">
        <v>296.5</v>
      </c>
      <c r="M23" s="46">
        <v>11.95</v>
      </c>
      <c r="N23" s="121">
        <v>201.76</v>
      </c>
      <c r="O23" s="121">
        <v>80.63</v>
      </c>
      <c r="P23" s="121">
        <v>281</v>
      </c>
      <c r="Q23" s="128"/>
      <c r="R23" s="121">
        <v>280</v>
      </c>
      <c r="S23" s="128"/>
      <c r="T23" s="121">
        <v>163.29</v>
      </c>
      <c r="U23" s="128"/>
      <c r="V23" s="143">
        <f>M23+O23+S23+Q23+U23</f>
        <v>92.58</v>
      </c>
      <c r="W23" s="118">
        <f>(V23/938)</f>
        <v>9.8699360341151385E-2</v>
      </c>
      <c r="X23" s="181">
        <v>7.15</v>
      </c>
      <c r="Y23" s="182"/>
      <c r="Z23" s="183"/>
      <c r="AA23" s="199">
        <v>80.63</v>
      </c>
      <c r="AB23" s="200"/>
      <c r="AC23" s="201"/>
      <c r="AD23" s="208">
        <v>0</v>
      </c>
      <c r="AE23" s="209"/>
      <c r="AF23" s="210"/>
      <c r="AG23" s="208">
        <v>0</v>
      </c>
      <c r="AH23" s="209"/>
      <c r="AI23" s="210"/>
      <c r="AJ23" s="138">
        <f>MAX(X23:AI23)</f>
        <v>80.63</v>
      </c>
      <c r="AK23" s="118">
        <f>(AJ23)/
N23</f>
        <v>0.39963322759714509</v>
      </c>
      <c r="AL23" s="184" t="s">
        <v>2525</v>
      </c>
      <c r="AM23" s="184" t="s">
        <v>2526</v>
      </c>
      <c r="AN23" s="184" t="s">
        <v>2527</v>
      </c>
      <c r="AO23" s="79">
        <v>183178</v>
      </c>
      <c r="AP23" s="80">
        <v>170460</v>
      </c>
      <c r="AQ23" s="144">
        <v>315261</v>
      </c>
      <c r="AR23" s="144">
        <v>31646</v>
      </c>
    </row>
    <row r="24" spans="1:44" s="110" customFormat="1" ht="48.75" customHeight="1" x14ac:dyDescent="0.2">
      <c r="A24" s="50"/>
      <c r="B24" s="243"/>
      <c r="C24" s="231"/>
      <c r="D24" s="194"/>
      <c r="E24" s="92" t="s">
        <v>2397</v>
      </c>
      <c r="F24" s="194"/>
      <c r="G24" s="99" t="s">
        <v>2327</v>
      </c>
      <c r="H24" s="194"/>
      <c r="I24" s="125" t="s">
        <v>2270</v>
      </c>
      <c r="J24" s="126" t="s">
        <v>2261</v>
      </c>
      <c r="K24" s="68">
        <f>+L24+N24+P24+R24+T24</f>
        <v>1370</v>
      </c>
      <c r="L24" s="121">
        <v>229.55</v>
      </c>
      <c r="M24" s="46">
        <v>245.35</v>
      </c>
      <c r="N24" s="121">
        <v>336.05</v>
      </c>
      <c r="O24" s="121">
        <v>144.81</v>
      </c>
      <c r="P24" s="121">
        <v>335.05</v>
      </c>
      <c r="Q24" s="128"/>
      <c r="R24" s="121">
        <v>335.05</v>
      </c>
      <c r="S24" s="128"/>
      <c r="T24" s="121">
        <v>134.30000000000001</v>
      </c>
      <c r="U24" s="128"/>
      <c r="V24" s="143">
        <f>M24+O24+S24+Q24+U24</f>
        <v>390.15999999999997</v>
      </c>
      <c r="W24" s="118">
        <f>(V24/1385.8)</f>
        <v>0.28154134795785829</v>
      </c>
      <c r="X24" s="181">
        <v>84.18</v>
      </c>
      <c r="Y24" s="182"/>
      <c r="Z24" s="183"/>
      <c r="AA24" s="199">
        <v>144.81</v>
      </c>
      <c r="AB24" s="200"/>
      <c r="AC24" s="201"/>
      <c r="AD24" s="208">
        <v>0</v>
      </c>
      <c r="AE24" s="209"/>
      <c r="AF24" s="210"/>
      <c r="AG24" s="208">
        <v>0</v>
      </c>
      <c r="AH24" s="209"/>
      <c r="AI24" s="210"/>
      <c r="AJ24" s="138">
        <f>MAX(X24:AI24)</f>
        <v>144.81</v>
      </c>
      <c r="AK24" s="118">
        <f>(AJ24)/N24</f>
        <v>0.43091801815206071</v>
      </c>
      <c r="AL24" s="185"/>
      <c r="AM24" s="185"/>
      <c r="AN24" s="185"/>
      <c r="AO24" s="79">
        <v>45604</v>
      </c>
      <c r="AP24" s="80">
        <v>40135</v>
      </c>
      <c r="AQ24" s="144">
        <v>97616</v>
      </c>
      <c r="AR24" s="144">
        <v>61437</v>
      </c>
    </row>
    <row r="25" spans="1:44" s="110" customFormat="1" ht="48.75" customHeight="1" x14ac:dyDescent="0.2">
      <c r="A25" s="50"/>
      <c r="B25" s="243"/>
      <c r="C25" s="94" t="s">
        <v>2272</v>
      </c>
      <c r="D25" s="92" t="s">
        <v>2433</v>
      </c>
      <c r="E25" s="92" t="s">
        <v>2397</v>
      </c>
      <c r="F25" s="92" t="s">
        <v>2380</v>
      </c>
      <c r="G25" s="154" t="s">
        <v>2379</v>
      </c>
      <c r="H25" s="92" t="s">
        <v>2381</v>
      </c>
      <c r="I25" s="125" t="s">
        <v>2235</v>
      </c>
      <c r="J25" s="126" t="s">
        <v>2258</v>
      </c>
      <c r="K25" s="127">
        <v>50</v>
      </c>
      <c r="L25" s="128">
        <v>50</v>
      </c>
      <c r="M25" s="46">
        <v>43.85</v>
      </c>
      <c r="N25" s="128">
        <v>50</v>
      </c>
      <c r="O25" s="128">
        <v>43.65</v>
      </c>
      <c r="P25" s="128">
        <v>50</v>
      </c>
      <c r="Q25" s="128"/>
      <c r="R25" s="128">
        <v>50</v>
      </c>
      <c r="S25" s="128"/>
      <c r="T25" s="128">
        <v>50</v>
      </c>
      <c r="U25" s="128"/>
      <c r="V25" s="128">
        <f>17.5</f>
        <v>17.5</v>
      </c>
      <c r="W25" s="118">
        <f>V25/50</f>
        <v>0.35</v>
      </c>
      <c r="X25" s="205">
        <f>O25</f>
        <v>43.65</v>
      </c>
      <c r="Y25" s="182"/>
      <c r="Z25" s="183"/>
      <c r="AA25" s="181">
        <v>43.65</v>
      </c>
      <c r="AB25" s="182"/>
      <c r="AC25" s="183"/>
      <c r="AD25" s="172">
        <v>0</v>
      </c>
      <c r="AE25" s="173"/>
      <c r="AF25" s="174"/>
      <c r="AG25" s="169">
        <v>0</v>
      </c>
      <c r="AH25" s="170"/>
      <c r="AI25" s="171"/>
      <c r="AJ25" s="138">
        <f>+AA25</f>
        <v>43.65</v>
      </c>
      <c r="AK25" s="118">
        <f>X25/50</f>
        <v>0.873</v>
      </c>
      <c r="AL25" s="158" t="s">
        <v>2548</v>
      </c>
      <c r="AM25" s="49" t="s">
        <v>2481</v>
      </c>
      <c r="AN25" s="49" t="s">
        <v>2564</v>
      </c>
      <c r="AO25" s="75">
        <v>89038</v>
      </c>
      <c r="AP25" s="75">
        <v>88330</v>
      </c>
      <c r="AQ25" s="51">
        <v>212210</v>
      </c>
      <c r="AR25" s="51">
        <v>76135</v>
      </c>
    </row>
    <row r="26" spans="1:44" s="110" customFormat="1" ht="148.5" customHeight="1" x14ac:dyDescent="0.2">
      <c r="A26" s="50"/>
      <c r="B26" s="243"/>
      <c r="C26" s="124" t="s">
        <v>2273</v>
      </c>
      <c r="D26" s="125" t="s">
        <v>2433</v>
      </c>
      <c r="E26" s="125" t="s">
        <v>2397</v>
      </c>
      <c r="F26" s="125" t="s">
        <v>2353</v>
      </c>
      <c r="G26" s="125" t="s">
        <v>2347</v>
      </c>
      <c r="H26" s="125" t="s">
        <v>2377</v>
      </c>
      <c r="I26" s="125" t="s">
        <v>2235</v>
      </c>
      <c r="J26" s="126" t="s">
        <v>2260</v>
      </c>
      <c r="K26" s="127">
        <v>404</v>
      </c>
      <c r="L26" s="121">
        <v>473</v>
      </c>
      <c r="M26" s="46">
        <v>371</v>
      </c>
      <c r="N26" s="121">
        <v>449</v>
      </c>
      <c r="O26" s="121">
        <v>371</v>
      </c>
      <c r="P26" s="121">
        <v>425</v>
      </c>
      <c r="Q26" s="128"/>
      <c r="R26" s="128">
        <v>405</v>
      </c>
      <c r="S26" s="128"/>
      <c r="T26" s="128">
        <v>404</v>
      </c>
      <c r="U26" s="128"/>
      <c r="V26" s="128">
        <v>404</v>
      </c>
      <c r="W26" s="118">
        <f>404/371</f>
        <v>1.0889487870619947</v>
      </c>
      <c r="X26" s="181">
        <v>371</v>
      </c>
      <c r="Y26" s="182"/>
      <c r="Z26" s="183"/>
      <c r="AA26" s="181">
        <v>371</v>
      </c>
      <c r="AB26" s="182"/>
      <c r="AC26" s="183"/>
      <c r="AD26" s="169">
        <v>0</v>
      </c>
      <c r="AE26" s="170"/>
      <c r="AF26" s="171"/>
      <c r="AG26" s="169">
        <v>0</v>
      </c>
      <c r="AH26" s="170"/>
      <c r="AI26" s="171"/>
      <c r="AJ26" s="115">
        <f>MAX(X26:AI26)</f>
        <v>371</v>
      </c>
      <c r="AK26" s="118">
        <f>+N26/AJ26</f>
        <v>1.2102425876010781</v>
      </c>
      <c r="AL26" s="49" t="s">
        <v>2528</v>
      </c>
      <c r="AM26" s="49" t="s">
        <v>2486</v>
      </c>
      <c r="AN26" s="184" t="s">
        <v>2529</v>
      </c>
      <c r="AO26" s="78">
        <v>19877</v>
      </c>
      <c r="AP26" s="78">
        <v>15454</v>
      </c>
      <c r="AQ26" s="295">
        <v>59075</v>
      </c>
      <c r="AR26" s="295">
        <v>33212</v>
      </c>
    </row>
    <row r="27" spans="1:44" s="110" customFormat="1" ht="148.5" customHeight="1" x14ac:dyDescent="0.2">
      <c r="A27" s="50"/>
      <c r="B27" s="243"/>
      <c r="C27" s="124" t="s">
        <v>2273</v>
      </c>
      <c r="D27" s="125" t="s">
        <v>2433</v>
      </c>
      <c r="E27" s="125" t="s">
        <v>2397</v>
      </c>
      <c r="F27" s="125" t="s">
        <v>2353</v>
      </c>
      <c r="G27" s="125" t="s">
        <v>2347</v>
      </c>
      <c r="H27" s="125" t="s">
        <v>2579</v>
      </c>
      <c r="I27" s="125" t="s">
        <v>2235</v>
      </c>
      <c r="J27" s="126" t="s">
        <v>2260</v>
      </c>
      <c r="K27" s="127">
        <v>146</v>
      </c>
      <c r="L27" s="121">
        <v>172</v>
      </c>
      <c r="M27" s="46">
        <v>150</v>
      </c>
      <c r="N27" s="121">
        <v>163</v>
      </c>
      <c r="O27" s="121">
        <v>150</v>
      </c>
      <c r="P27" s="121">
        <v>154</v>
      </c>
      <c r="Q27" s="128"/>
      <c r="R27" s="128">
        <v>147</v>
      </c>
      <c r="S27" s="128"/>
      <c r="T27" s="128">
        <v>146</v>
      </c>
      <c r="U27" s="128"/>
      <c r="V27" s="129">
        <f>O27</f>
        <v>150</v>
      </c>
      <c r="W27" s="118">
        <f>T27/O27</f>
        <v>0.97333333333333338</v>
      </c>
      <c r="X27" s="181">
        <v>150</v>
      </c>
      <c r="Y27" s="182"/>
      <c r="Z27" s="183"/>
      <c r="AA27" s="181">
        <v>150</v>
      </c>
      <c r="AB27" s="182"/>
      <c r="AC27" s="183"/>
      <c r="AD27" s="181">
        <v>0</v>
      </c>
      <c r="AE27" s="182"/>
      <c r="AF27" s="183"/>
      <c r="AG27" s="181">
        <v>0</v>
      </c>
      <c r="AH27" s="182"/>
      <c r="AI27" s="183"/>
      <c r="AJ27" s="130">
        <f>AA27</f>
        <v>150</v>
      </c>
      <c r="AK27" s="131">
        <f>N27/O27</f>
        <v>1.0866666666666667</v>
      </c>
      <c r="AL27" s="49" t="s">
        <v>2580</v>
      </c>
      <c r="AM27" s="49" t="s">
        <v>2486</v>
      </c>
      <c r="AN27" s="185"/>
      <c r="AO27" s="78"/>
      <c r="AP27" s="78"/>
      <c r="AQ27" s="295"/>
      <c r="AR27" s="295"/>
    </row>
    <row r="28" spans="1:44" s="110" customFormat="1" ht="107.25" customHeight="1" x14ac:dyDescent="0.2">
      <c r="A28" s="50"/>
      <c r="B28" s="243"/>
      <c r="C28" s="124" t="s">
        <v>2273</v>
      </c>
      <c r="D28" s="125" t="s">
        <v>2433</v>
      </c>
      <c r="E28" s="125" t="s">
        <v>2397</v>
      </c>
      <c r="F28" s="125" t="s">
        <v>2376</v>
      </c>
      <c r="G28" s="125" t="s">
        <v>2375</v>
      </c>
      <c r="H28" s="125" t="s">
        <v>2378</v>
      </c>
      <c r="I28" s="125" t="s">
        <v>2235</v>
      </c>
      <c r="J28" s="126" t="s">
        <v>2258</v>
      </c>
      <c r="K28" s="150">
        <v>1</v>
      </c>
      <c r="L28" s="128">
        <v>1</v>
      </c>
      <c r="M28" s="46">
        <v>1</v>
      </c>
      <c r="N28" s="128">
        <v>1</v>
      </c>
      <c r="O28" s="128">
        <v>1</v>
      </c>
      <c r="P28" s="128">
        <v>1</v>
      </c>
      <c r="Q28" s="128"/>
      <c r="R28" s="128">
        <v>1</v>
      </c>
      <c r="S28" s="128"/>
      <c r="T28" s="128">
        <v>1</v>
      </c>
      <c r="U28" s="128"/>
      <c r="V28" s="141">
        <v>1</v>
      </c>
      <c r="W28" s="48">
        <f>(M28+O28)/5</f>
        <v>0.4</v>
      </c>
      <c r="X28" s="181">
        <v>1</v>
      </c>
      <c r="Y28" s="182"/>
      <c r="Z28" s="183"/>
      <c r="AA28" s="181">
        <v>1</v>
      </c>
      <c r="AB28" s="182"/>
      <c r="AC28" s="183"/>
      <c r="AD28" s="169">
        <v>0</v>
      </c>
      <c r="AE28" s="170"/>
      <c r="AF28" s="171"/>
      <c r="AG28" s="169">
        <v>0</v>
      </c>
      <c r="AH28" s="170"/>
      <c r="AI28" s="171"/>
      <c r="AJ28" s="103">
        <f>+AA28</f>
        <v>1</v>
      </c>
      <c r="AK28" s="48">
        <f>X28/L28</f>
        <v>1</v>
      </c>
      <c r="AL28" s="49" t="s">
        <v>2549</v>
      </c>
      <c r="AM28" s="49" t="s">
        <v>2550</v>
      </c>
      <c r="AN28" s="49" t="s">
        <v>2565</v>
      </c>
      <c r="AO28" s="75">
        <v>823</v>
      </c>
      <c r="AP28" s="75">
        <v>823</v>
      </c>
      <c r="AQ28" s="51">
        <v>2248</v>
      </c>
      <c r="AR28" s="51">
        <v>412</v>
      </c>
    </row>
    <row r="29" spans="1:44" s="110" customFormat="1" ht="45.75" customHeight="1" x14ac:dyDescent="0.2">
      <c r="A29" s="50"/>
      <c r="B29" s="243"/>
      <c r="C29" s="230" t="s">
        <v>2271</v>
      </c>
      <c r="D29" s="193" t="s">
        <v>2433</v>
      </c>
      <c r="E29" s="193" t="s">
        <v>2397</v>
      </c>
      <c r="F29" s="193" t="s">
        <v>2355</v>
      </c>
      <c r="G29" s="99" t="s">
        <v>2354</v>
      </c>
      <c r="H29" s="193" t="s">
        <v>2356</v>
      </c>
      <c r="I29" s="125" t="s">
        <v>2270</v>
      </c>
      <c r="J29" s="126" t="s">
        <v>2261</v>
      </c>
      <c r="K29" s="68">
        <f>+L29+N29+P29+R29+T29</f>
        <v>0.25</v>
      </c>
      <c r="L29" s="121">
        <v>0.01</v>
      </c>
      <c r="M29" s="46">
        <v>0.01</v>
      </c>
      <c r="N29" s="121">
        <v>0.04</v>
      </c>
      <c r="O29" s="121">
        <v>0.01</v>
      </c>
      <c r="P29" s="121">
        <v>0.08</v>
      </c>
      <c r="Q29" s="128"/>
      <c r="R29" s="128">
        <v>0.09</v>
      </c>
      <c r="S29" s="128"/>
      <c r="T29" s="128">
        <v>0.03</v>
      </c>
      <c r="U29" s="128"/>
      <c r="V29" s="143">
        <f>M29+O29+S29+Q29+U29</f>
        <v>0.02</v>
      </c>
      <c r="W29" s="118">
        <f>(V29/K29)</f>
        <v>0.08</v>
      </c>
      <c r="X29" s="181">
        <v>0</v>
      </c>
      <c r="Y29" s="182"/>
      <c r="Z29" s="183"/>
      <c r="AA29" s="181">
        <v>0.01</v>
      </c>
      <c r="AB29" s="182"/>
      <c r="AC29" s="183"/>
      <c r="AD29" s="169">
        <v>0</v>
      </c>
      <c r="AE29" s="170"/>
      <c r="AF29" s="171"/>
      <c r="AG29" s="172">
        <v>0</v>
      </c>
      <c r="AH29" s="173"/>
      <c r="AI29" s="174"/>
      <c r="AJ29" s="138">
        <f>MAX(X29:AI29)</f>
        <v>0.01</v>
      </c>
      <c r="AK29" s="48">
        <f>(AD29+AG29+X29+AA29)/N29</f>
        <v>0.25</v>
      </c>
      <c r="AL29" s="184" t="s">
        <v>2530</v>
      </c>
      <c r="AM29" s="184" t="s">
        <v>2477</v>
      </c>
      <c r="AN29" s="184" t="s">
        <v>2531</v>
      </c>
      <c r="AO29" s="78">
        <v>19</v>
      </c>
      <c r="AP29" s="81">
        <v>19</v>
      </c>
      <c r="AQ29" s="82">
        <v>49</v>
      </c>
      <c r="AR29" s="82">
        <v>19</v>
      </c>
    </row>
    <row r="30" spans="1:44" s="110" customFormat="1" ht="45.75" customHeight="1" x14ac:dyDescent="0.2">
      <c r="A30" s="50"/>
      <c r="B30" s="243"/>
      <c r="C30" s="241"/>
      <c r="D30" s="214"/>
      <c r="E30" s="214"/>
      <c r="F30" s="214"/>
      <c r="G30" s="99" t="s">
        <v>2354</v>
      </c>
      <c r="H30" s="214"/>
      <c r="I30" s="125" t="s">
        <v>2235</v>
      </c>
      <c r="J30" s="126" t="s">
        <v>2261</v>
      </c>
      <c r="K30" s="68">
        <f>+L30+N30+P30+R30+T30</f>
        <v>0.25</v>
      </c>
      <c r="L30" s="121">
        <v>0.05</v>
      </c>
      <c r="M30" s="46">
        <v>0.05</v>
      </c>
      <c r="N30" s="121">
        <v>0.05</v>
      </c>
      <c r="O30" s="121">
        <v>0.03</v>
      </c>
      <c r="P30" s="121">
        <v>0.05</v>
      </c>
      <c r="Q30" s="128"/>
      <c r="R30" s="128">
        <v>0.05</v>
      </c>
      <c r="S30" s="128"/>
      <c r="T30" s="128">
        <v>0.05</v>
      </c>
      <c r="U30" s="128"/>
      <c r="V30" s="143">
        <f t="shared" ref="V30:V33" si="4">M30+O30+S30+Q30+U30</f>
        <v>0.08</v>
      </c>
      <c r="W30" s="118">
        <f t="shared" ref="W30:W33" si="5">(V30/K30)</f>
        <v>0.32</v>
      </c>
      <c r="X30" s="181">
        <v>0.01</v>
      </c>
      <c r="Y30" s="182"/>
      <c r="Z30" s="183"/>
      <c r="AA30" s="181">
        <v>0.03</v>
      </c>
      <c r="AB30" s="182"/>
      <c r="AC30" s="183"/>
      <c r="AD30" s="169">
        <v>0</v>
      </c>
      <c r="AE30" s="170"/>
      <c r="AF30" s="171"/>
      <c r="AG30" s="172">
        <v>0</v>
      </c>
      <c r="AH30" s="173"/>
      <c r="AI30" s="174"/>
      <c r="AJ30" s="138">
        <f>MAX(X30:AI30)</f>
        <v>0.03</v>
      </c>
      <c r="AK30" s="48">
        <f>AJ30/N30</f>
        <v>0.6</v>
      </c>
      <c r="AL30" s="195"/>
      <c r="AM30" s="195"/>
      <c r="AN30" s="195"/>
      <c r="AO30" s="78">
        <v>3002</v>
      </c>
      <c r="AP30" s="81">
        <v>3002</v>
      </c>
      <c r="AQ30" s="82">
        <v>6657</v>
      </c>
      <c r="AR30" s="82">
        <v>4656</v>
      </c>
    </row>
    <row r="31" spans="1:44" s="110" customFormat="1" ht="45.75" customHeight="1" x14ac:dyDescent="0.2">
      <c r="A31" s="50"/>
      <c r="B31" s="243"/>
      <c r="C31" s="241"/>
      <c r="D31" s="214"/>
      <c r="E31" s="214"/>
      <c r="F31" s="214"/>
      <c r="G31" s="99" t="s">
        <v>2354</v>
      </c>
      <c r="H31" s="214"/>
      <c r="I31" s="125" t="s">
        <v>2392</v>
      </c>
      <c r="J31" s="126" t="s">
        <v>2261</v>
      </c>
      <c r="K31" s="68">
        <f>+L31+N31+P31+R31+T31</f>
        <v>0.25</v>
      </c>
      <c r="L31" s="121">
        <v>0</v>
      </c>
      <c r="M31" s="46">
        <f>AD31+AG31</f>
        <v>0</v>
      </c>
      <c r="N31" s="121">
        <v>0.01</v>
      </c>
      <c r="O31" s="121">
        <v>0</v>
      </c>
      <c r="P31" s="121">
        <v>0.08</v>
      </c>
      <c r="Q31" s="128"/>
      <c r="R31" s="128">
        <v>0.1</v>
      </c>
      <c r="S31" s="128"/>
      <c r="T31" s="128">
        <v>0.06</v>
      </c>
      <c r="U31" s="128"/>
      <c r="V31" s="143">
        <f t="shared" si="4"/>
        <v>0</v>
      </c>
      <c r="W31" s="118">
        <f t="shared" si="5"/>
        <v>0</v>
      </c>
      <c r="X31" s="181">
        <v>0</v>
      </c>
      <c r="Y31" s="182"/>
      <c r="Z31" s="183"/>
      <c r="AA31" s="181">
        <v>0</v>
      </c>
      <c r="AB31" s="182"/>
      <c r="AC31" s="183"/>
      <c r="AD31" s="169">
        <v>0</v>
      </c>
      <c r="AE31" s="170"/>
      <c r="AF31" s="171"/>
      <c r="AG31" s="169">
        <v>0</v>
      </c>
      <c r="AH31" s="170"/>
      <c r="AI31" s="171"/>
      <c r="AJ31" s="115">
        <f>X31+AD31+AA31+AG31</f>
        <v>0</v>
      </c>
      <c r="AK31" s="48">
        <f>AJ31/N31</f>
        <v>0</v>
      </c>
      <c r="AL31" s="195"/>
      <c r="AM31" s="195"/>
      <c r="AN31" s="195"/>
      <c r="AO31" s="78">
        <v>0</v>
      </c>
      <c r="AP31" s="78">
        <v>0</v>
      </c>
      <c r="AQ31" s="82">
        <v>216</v>
      </c>
      <c r="AR31" s="82">
        <v>0</v>
      </c>
    </row>
    <row r="32" spans="1:44" s="110" customFormat="1" ht="45.75" customHeight="1" x14ac:dyDescent="0.2">
      <c r="A32" s="50"/>
      <c r="B32" s="243"/>
      <c r="C32" s="241"/>
      <c r="D32" s="214"/>
      <c r="E32" s="214"/>
      <c r="F32" s="214"/>
      <c r="G32" s="99" t="s">
        <v>2354</v>
      </c>
      <c r="H32" s="214"/>
      <c r="I32" s="125" t="s">
        <v>2269</v>
      </c>
      <c r="J32" s="126" t="s">
        <v>2261</v>
      </c>
      <c r="K32" s="68">
        <f>+L32+N32+P32+R32+T32</f>
        <v>0.25</v>
      </c>
      <c r="L32" s="121">
        <v>0.05</v>
      </c>
      <c r="M32" s="46">
        <v>0</v>
      </c>
      <c r="N32" s="121">
        <v>0</v>
      </c>
      <c r="O32" s="121">
        <v>0</v>
      </c>
      <c r="P32" s="121">
        <v>0.05</v>
      </c>
      <c r="Q32" s="128"/>
      <c r="R32" s="128">
        <v>0.05</v>
      </c>
      <c r="S32" s="128"/>
      <c r="T32" s="128">
        <v>0.1</v>
      </c>
      <c r="U32" s="128"/>
      <c r="V32" s="143">
        <f t="shared" si="4"/>
        <v>0</v>
      </c>
      <c r="W32" s="118">
        <f t="shared" si="5"/>
        <v>0</v>
      </c>
      <c r="X32" s="169">
        <v>0</v>
      </c>
      <c r="Y32" s="170"/>
      <c r="Z32" s="171"/>
      <c r="AA32" s="169">
        <v>0</v>
      </c>
      <c r="AB32" s="170"/>
      <c r="AC32" s="171"/>
      <c r="AD32" s="169">
        <v>0</v>
      </c>
      <c r="AE32" s="170"/>
      <c r="AF32" s="171"/>
      <c r="AG32" s="169">
        <v>0</v>
      </c>
      <c r="AH32" s="170"/>
      <c r="AI32" s="171"/>
      <c r="AJ32" s="103">
        <f>AD32+AG32</f>
        <v>0</v>
      </c>
      <c r="AK32" s="48">
        <f>X32/L32</f>
        <v>0</v>
      </c>
      <c r="AL32" s="195"/>
      <c r="AM32" s="195"/>
      <c r="AN32" s="195"/>
      <c r="AO32" s="78">
        <v>0</v>
      </c>
      <c r="AP32" s="78">
        <v>0</v>
      </c>
      <c r="AQ32" s="82">
        <v>0</v>
      </c>
      <c r="AR32" s="82">
        <v>0</v>
      </c>
    </row>
    <row r="33" spans="1:45" s="110" customFormat="1" ht="71.25" customHeight="1" x14ac:dyDescent="0.2">
      <c r="A33" s="50"/>
      <c r="B33" s="243"/>
      <c r="C33" s="231"/>
      <c r="D33" s="194"/>
      <c r="E33" s="194"/>
      <c r="F33" s="194"/>
      <c r="G33" s="99" t="s">
        <v>2354</v>
      </c>
      <c r="H33" s="194"/>
      <c r="I33" s="125" t="s">
        <v>2391</v>
      </c>
      <c r="J33" s="126" t="s">
        <v>2261</v>
      </c>
      <c r="K33" s="68">
        <f>+L33+N33+P33+R33+T33</f>
        <v>1</v>
      </c>
      <c r="L33" s="121">
        <v>0.05</v>
      </c>
      <c r="M33" s="46">
        <v>0.05</v>
      </c>
      <c r="N33" s="121">
        <v>0.3</v>
      </c>
      <c r="O33" s="121">
        <v>0.15</v>
      </c>
      <c r="P33" s="121">
        <v>0.3</v>
      </c>
      <c r="Q33" s="128"/>
      <c r="R33" s="128">
        <v>0.3</v>
      </c>
      <c r="S33" s="128"/>
      <c r="T33" s="128">
        <v>0.05</v>
      </c>
      <c r="U33" s="128"/>
      <c r="V33" s="143">
        <f t="shared" si="4"/>
        <v>0.2</v>
      </c>
      <c r="W33" s="118">
        <f t="shared" si="5"/>
        <v>0.2</v>
      </c>
      <c r="X33" s="181">
        <v>0.08</v>
      </c>
      <c r="Y33" s="182"/>
      <c r="Z33" s="183"/>
      <c r="AA33" s="181">
        <v>0.15</v>
      </c>
      <c r="AB33" s="182"/>
      <c r="AC33" s="183"/>
      <c r="AD33" s="172">
        <v>0</v>
      </c>
      <c r="AE33" s="173"/>
      <c r="AF33" s="174"/>
      <c r="AG33" s="172">
        <v>0</v>
      </c>
      <c r="AH33" s="173"/>
      <c r="AI33" s="174"/>
      <c r="AJ33" s="138">
        <f>MAX(X33:AI33)</f>
        <v>0.15</v>
      </c>
      <c r="AK33" s="118">
        <f>+AJ33/N33</f>
        <v>0.5</v>
      </c>
      <c r="AL33" s="185"/>
      <c r="AM33" s="185"/>
      <c r="AN33" s="185"/>
      <c r="AO33" s="78">
        <v>10346</v>
      </c>
      <c r="AP33" s="78">
        <v>10345</v>
      </c>
      <c r="AQ33" s="82">
        <v>26639</v>
      </c>
      <c r="AR33" s="82">
        <v>22151</v>
      </c>
    </row>
    <row r="34" spans="1:45" s="110" customFormat="1" ht="107.25" customHeight="1" x14ac:dyDescent="0.2">
      <c r="A34" s="50"/>
      <c r="B34" s="243"/>
      <c r="C34" s="124" t="s">
        <v>2399</v>
      </c>
      <c r="D34" s="125" t="s">
        <v>2433</v>
      </c>
      <c r="E34" s="125" t="s">
        <v>2397</v>
      </c>
      <c r="F34" s="125" t="s">
        <v>2367</v>
      </c>
      <c r="G34" s="125" t="s">
        <v>2366</v>
      </c>
      <c r="H34" s="125" t="s">
        <v>2368</v>
      </c>
      <c r="I34" s="125" t="s">
        <v>2235</v>
      </c>
      <c r="J34" s="126" t="s">
        <v>2258</v>
      </c>
      <c r="K34" s="127">
        <v>1</v>
      </c>
      <c r="L34" s="128">
        <v>0</v>
      </c>
      <c r="M34" s="46">
        <v>0</v>
      </c>
      <c r="N34" s="128">
        <v>1</v>
      </c>
      <c r="O34" s="128">
        <v>0.77</v>
      </c>
      <c r="P34" s="128">
        <v>1</v>
      </c>
      <c r="Q34" s="128"/>
      <c r="R34" s="128">
        <v>1</v>
      </c>
      <c r="S34" s="128"/>
      <c r="T34" s="128">
        <v>1</v>
      </c>
      <c r="U34" s="128"/>
      <c r="V34" s="128">
        <f>M34+O34+Q34+S34+U34</f>
        <v>0.77</v>
      </c>
      <c r="W34" s="118">
        <f>0.77/4</f>
        <v>0.1925</v>
      </c>
      <c r="X34" s="181">
        <v>0.35</v>
      </c>
      <c r="Y34" s="182"/>
      <c r="Z34" s="183"/>
      <c r="AA34" s="181">
        <v>0.77</v>
      </c>
      <c r="AB34" s="182"/>
      <c r="AC34" s="183"/>
      <c r="AD34" s="172">
        <v>0</v>
      </c>
      <c r="AE34" s="173"/>
      <c r="AF34" s="174"/>
      <c r="AG34" s="169">
        <v>0</v>
      </c>
      <c r="AH34" s="170"/>
      <c r="AI34" s="171"/>
      <c r="AJ34" s="138">
        <f>+AA34</f>
        <v>0.77</v>
      </c>
      <c r="AK34" s="118">
        <f>+AJ34/N34</f>
        <v>0.77</v>
      </c>
      <c r="AL34" s="49" t="s">
        <v>2551</v>
      </c>
      <c r="AM34" s="49" t="s">
        <v>2552</v>
      </c>
      <c r="AN34" s="49" t="s">
        <v>2566</v>
      </c>
      <c r="AO34" s="75">
        <v>0</v>
      </c>
      <c r="AP34" s="75">
        <v>0</v>
      </c>
      <c r="AQ34" s="51">
        <v>547</v>
      </c>
      <c r="AR34" s="51">
        <v>317</v>
      </c>
    </row>
    <row r="35" spans="1:45" s="110" customFormat="1" ht="117" customHeight="1" x14ac:dyDescent="0.2">
      <c r="A35" s="50"/>
      <c r="B35" s="243"/>
      <c r="C35" s="124" t="s">
        <v>2271</v>
      </c>
      <c r="D35" s="125" t="s">
        <v>2433</v>
      </c>
      <c r="E35" s="125" t="s">
        <v>2397</v>
      </c>
      <c r="F35" s="125" t="s">
        <v>2370</v>
      </c>
      <c r="G35" s="125" t="s">
        <v>2369</v>
      </c>
      <c r="H35" s="125" t="s">
        <v>2371</v>
      </c>
      <c r="I35" s="125" t="s">
        <v>2236</v>
      </c>
      <c r="J35" s="126" t="s">
        <v>2260</v>
      </c>
      <c r="K35" s="127">
        <v>21.21</v>
      </c>
      <c r="L35" s="46">
        <v>23.56</v>
      </c>
      <c r="M35" s="46">
        <v>23.56</v>
      </c>
      <c r="N35" s="128">
        <v>23.55</v>
      </c>
      <c r="O35" s="128">
        <v>23.55</v>
      </c>
      <c r="P35" s="128">
        <v>23.54</v>
      </c>
      <c r="Q35" s="128"/>
      <c r="R35" s="128">
        <v>23.53</v>
      </c>
      <c r="S35" s="128">
        <v>0</v>
      </c>
      <c r="T35" s="128">
        <v>21.21</v>
      </c>
      <c r="U35" s="128"/>
      <c r="V35" s="128">
        <f>O35</f>
        <v>23.55</v>
      </c>
      <c r="W35" s="118">
        <f>K35/O35</f>
        <v>0.90063694267515926</v>
      </c>
      <c r="X35" s="181">
        <v>23.56</v>
      </c>
      <c r="Y35" s="182"/>
      <c r="Z35" s="183"/>
      <c r="AA35" s="181">
        <v>23.55</v>
      </c>
      <c r="AB35" s="182"/>
      <c r="AC35" s="183"/>
      <c r="AD35" s="172">
        <v>0</v>
      </c>
      <c r="AE35" s="173"/>
      <c r="AF35" s="174"/>
      <c r="AG35" s="172">
        <v>0</v>
      </c>
      <c r="AH35" s="173"/>
      <c r="AI35" s="174"/>
      <c r="AJ35" s="138">
        <f>+AA35</f>
        <v>23.55</v>
      </c>
      <c r="AK35" s="118">
        <f>+AJ35/N35</f>
        <v>1</v>
      </c>
      <c r="AL35" s="49" t="s">
        <v>2553</v>
      </c>
      <c r="AM35" s="49" t="s">
        <v>2484</v>
      </c>
      <c r="AN35" s="49" t="s">
        <v>2462</v>
      </c>
      <c r="AO35" s="75">
        <v>1437</v>
      </c>
      <c r="AP35" s="96">
        <v>1321</v>
      </c>
      <c r="AQ35" s="51">
        <v>2423</v>
      </c>
      <c r="AR35" s="51">
        <v>2105</v>
      </c>
    </row>
    <row r="36" spans="1:45" s="110" customFormat="1" ht="82.5" customHeight="1" x14ac:dyDescent="0.2">
      <c r="A36" s="50"/>
      <c r="B36" s="243"/>
      <c r="C36" s="232" t="s">
        <v>2271</v>
      </c>
      <c r="D36" s="232" t="s">
        <v>2433</v>
      </c>
      <c r="E36" s="193" t="s">
        <v>2397</v>
      </c>
      <c r="F36" s="99" t="s">
        <v>2449</v>
      </c>
      <c r="G36" s="99" t="s">
        <v>2323</v>
      </c>
      <c r="H36" s="125" t="s">
        <v>2450</v>
      </c>
      <c r="I36" s="125" t="s">
        <v>2235</v>
      </c>
      <c r="J36" s="126" t="s">
        <v>2261</v>
      </c>
      <c r="K36" s="133">
        <v>100</v>
      </c>
      <c r="L36" s="46">
        <v>5</v>
      </c>
      <c r="M36" s="46">
        <v>5</v>
      </c>
      <c r="N36" s="121">
        <v>30</v>
      </c>
      <c r="O36" s="121">
        <v>20.399999999999999</v>
      </c>
      <c r="P36" s="121">
        <v>30</v>
      </c>
      <c r="Q36" s="128"/>
      <c r="R36" s="128">
        <v>30</v>
      </c>
      <c r="S36" s="128"/>
      <c r="T36" s="128">
        <v>5</v>
      </c>
      <c r="U36" s="128"/>
      <c r="V36" s="128">
        <f>M36+O36</f>
        <v>25.4</v>
      </c>
      <c r="W36" s="118">
        <f>(M36+O36)/V36</f>
        <v>1</v>
      </c>
      <c r="X36" s="181">
        <v>15.75</v>
      </c>
      <c r="Y36" s="182"/>
      <c r="Z36" s="183"/>
      <c r="AA36" s="181">
        <v>20.399999999999999</v>
      </c>
      <c r="AB36" s="182"/>
      <c r="AC36" s="183"/>
      <c r="AD36" s="172">
        <v>0</v>
      </c>
      <c r="AE36" s="173"/>
      <c r="AF36" s="174"/>
      <c r="AG36" s="172">
        <v>0</v>
      </c>
      <c r="AH36" s="173"/>
      <c r="AI36" s="174"/>
      <c r="AJ36" s="138">
        <f>MAX(X36:AI36)</f>
        <v>20.399999999999999</v>
      </c>
      <c r="AK36" s="118">
        <f>AJ36/N36</f>
        <v>0.67999999999999994</v>
      </c>
      <c r="AL36" s="184" t="s">
        <v>2532</v>
      </c>
      <c r="AM36" s="184" t="s">
        <v>2533</v>
      </c>
      <c r="AN36" s="184" t="s">
        <v>2534</v>
      </c>
      <c r="AO36" s="78">
        <v>282</v>
      </c>
      <c r="AP36" s="78">
        <v>282</v>
      </c>
      <c r="AQ36" s="82">
        <v>1283</v>
      </c>
      <c r="AR36" s="82">
        <v>1169</v>
      </c>
    </row>
    <row r="37" spans="1:45" s="110" customFormat="1" ht="82.5" customHeight="1" x14ac:dyDescent="0.2">
      <c r="A37" s="50"/>
      <c r="B37" s="243"/>
      <c r="C37" s="233"/>
      <c r="D37" s="233"/>
      <c r="E37" s="194"/>
      <c r="F37" s="99" t="s">
        <v>2322</v>
      </c>
      <c r="G37" s="99" t="s">
        <v>2323</v>
      </c>
      <c r="H37" s="125" t="s">
        <v>2357</v>
      </c>
      <c r="I37" s="125" t="s">
        <v>2236</v>
      </c>
      <c r="J37" s="126" t="s">
        <v>2259</v>
      </c>
      <c r="K37" s="133">
        <v>82.5</v>
      </c>
      <c r="L37" s="121">
        <v>79</v>
      </c>
      <c r="M37" s="46">
        <v>78.959999999999994</v>
      </c>
      <c r="N37" s="121">
        <v>79.3</v>
      </c>
      <c r="O37" s="121">
        <v>88.89</v>
      </c>
      <c r="P37" s="121">
        <v>79.5</v>
      </c>
      <c r="Q37" s="128"/>
      <c r="R37" s="128">
        <v>80.5</v>
      </c>
      <c r="S37" s="128"/>
      <c r="T37" s="128">
        <v>82.5</v>
      </c>
      <c r="U37" s="128"/>
      <c r="V37" s="128">
        <v>82.5</v>
      </c>
      <c r="W37" s="118">
        <f>(O37)/V37</f>
        <v>1.0774545454545454</v>
      </c>
      <c r="X37" s="181">
        <v>79.03</v>
      </c>
      <c r="Y37" s="182"/>
      <c r="Z37" s="183"/>
      <c r="AA37" s="181">
        <v>88.89</v>
      </c>
      <c r="AB37" s="182"/>
      <c r="AC37" s="183"/>
      <c r="AD37" s="169">
        <v>0</v>
      </c>
      <c r="AE37" s="170"/>
      <c r="AF37" s="171"/>
      <c r="AG37" s="172">
        <v>0</v>
      </c>
      <c r="AH37" s="173"/>
      <c r="AI37" s="174"/>
      <c r="AJ37" s="138">
        <f>MAX(X37:AI37)</f>
        <v>88.89</v>
      </c>
      <c r="AK37" s="118">
        <f>AJ37/N37</f>
        <v>1.1209331651954604</v>
      </c>
      <c r="AL37" s="185"/>
      <c r="AM37" s="185"/>
      <c r="AN37" s="185"/>
      <c r="AO37" s="78">
        <v>8998</v>
      </c>
      <c r="AP37" s="78">
        <v>8336</v>
      </c>
      <c r="AQ37" s="82">
        <v>15335</v>
      </c>
      <c r="AR37" s="82">
        <v>9620</v>
      </c>
    </row>
    <row r="38" spans="1:45" s="110" customFormat="1" ht="107.25" customHeight="1" x14ac:dyDescent="0.2">
      <c r="A38" s="50"/>
      <c r="B38" s="243"/>
      <c r="C38" s="124" t="s">
        <v>2271</v>
      </c>
      <c r="D38" s="125" t="s">
        <v>2433</v>
      </c>
      <c r="E38" s="125" t="s">
        <v>2397</v>
      </c>
      <c r="F38" s="125" t="s">
        <v>2389</v>
      </c>
      <c r="G38" s="125" t="s">
        <v>2388</v>
      </c>
      <c r="H38" s="125" t="s">
        <v>2390</v>
      </c>
      <c r="I38" s="125" t="s">
        <v>2236</v>
      </c>
      <c r="J38" s="126" t="s">
        <v>2260</v>
      </c>
      <c r="K38" s="133">
        <v>2</v>
      </c>
      <c r="L38" s="121">
        <v>15.35</v>
      </c>
      <c r="M38" s="46">
        <v>15.36</v>
      </c>
      <c r="N38" s="121">
        <v>15.34</v>
      </c>
      <c r="O38" s="46">
        <v>15.36</v>
      </c>
      <c r="P38" s="121">
        <v>15.33</v>
      </c>
      <c r="Q38" s="121"/>
      <c r="R38" s="121">
        <v>15.32</v>
      </c>
      <c r="S38" s="121"/>
      <c r="T38" s="121">
        <v>13.36</v>
      </c>
      <c r="U38" s="121"/>
      <c r="V38" s="121">
        <f>O38</f>
        <v>15.36</v>
      </c>
      <c r="W38" s="118">
        <f>13.36/M38</f>
        <v>0.86979166666666663</v>
      </c>
      <c r="X38" s="172">
        <v>15.36</v>
      </c>
      <c r="Y38" s="173"/>
      <c r="Z38" s="174"/>
      <c r="AA38" s="172">
        <v>15.36</v>
      </c>
      <c r="AB38" s="173"/>
      <c r="AC38" s="174"/>
      <c r="AD38" s="169">
        <v>0</v>
      </c>
      <c r="AE38" s="170"/>
      <c r="AF38" s="171"/>
      <c r="AG38" s="172">
        <v>0</v>
      </c>
      <c r="AH38" s="173"/>
      <c r="AI38" s="174"/>
      <c r="AJ38" s="138">
        <f>+AA38</f>
        <v>15.36</v>
      </c>
      <c r="AK38" s="118">
        <f>+N38/AJ38</f>
        <v>0.99869791666666674</v>
      </c>
      <c r="AL38" s="49" t="s">
        <v>2554</v>
      </c>
      <c r="AM38" s="49" t="s">
        <v>2555</v>
      </c>
      <c r="AN38" s="49" t="s">
        <v>2567</v>
      </c>
      <c r="AO38" s="75">
        <v>9219</v>
      </c>
      <c r="AP38" s="75">
        <v>9219</v>
      </c>
      <c r="AQ38" s="51">
        <v>16498</v>
      </c>
      <c r="AR38" s="51">
        <v>5594</v>
      </c>
    </row>
    <row r="39" spans="1:45" s="110" customFormat="1" ht="90" customHeight="1" x14ac:dyDescent="0.2">
      <c r="A39" s="50"/>
      <c r="B39" s="243"/>
      <c r="C39" s="232" t="s">
        <v>2271</v>
      </c>
      <c r="D39" s="232" t="s">
        <v>2433</v>
      </c>
      <c r="E39" s="193" t="s">
        <v>2397</v>
      </c>
      <c r="F39" s="50" t="s">
        <v>2447</v>
      </c>
      <c r="G39" s="99" t="s">
        <v>2319</v>
      </c>
      <c r="H39" s="125" t="s">
        <v>2448</v>
      </c>
      <c r="I39" s="125" t="s">
        <v>2235</v>
      </c>
      <c r="J39" s="126" t="s">
        <v>2261</v>
      </c>
      <c r="K39" s="133">
        <v>100</v>
      </c>
      <c r="L39" s="121">
        <v>5</v>
      </c>
      <c r="M39" s="46">
        <v>5</v>
      </c>
      <c r="N39" s="121">
        <v>30</v>
      </c>
      <c r="O39" s="121">
        <v>1.95</v>
      </c>
      <c r="P39" s="121">
        <v>30</v>
      </c>
      <c r="Q39" s="121"/>
      <c r="R39" s="121">
        <v>30</v>
      </c>
      <c r="S39" s="121"/>
      <c r="T39" s="121">
        <v>5</v>
      </c>
      <c r="U39" s="121"/>
      <c r="V39" s="121">
        <f>+M39+O39</f>
        <v>6.95</v>
      </c>
      <c r="W39" s="134">
        <f>+V39/K39</f>
        <v>6.9500000000000006E-2</v>
      </c>
      <c r="X39" s="165">
        <v>1.35</v>
      </c>
      <c r="Y39" s="166"/>
      <c r="Z39" s="167"/>
      <c r="AA39" s="172">
        <v>1.95</v>
      </c>
      <c r="AB39" s="173"/>
      <c r="AC39" s="174"/>
      <c r="AD39" s="169">
        <v>0</v>
      </c>
      <c r="AE39" s="170"/>
      <c r="AF39" s="171"/>
      <c r="AG39" s="172">
        <v>0</v>
      </c>
      <c r="AH39" s="173"/>
      <c r="AI39" s="174"/>
      <c r="AJ39" s="135">
        <f>MAX(X39:AI39)</f>
        <v>1.95</v>
      </c>
      <c r="AK39" s="118">
        <f>+AJ39/N39</f>
        <v>6.5000000000000002E-2</v>
      </c>
      <c r="AL39" s="184" t="s">
        <v>2535</v>
      </c>
      <c r="AM39" s="184" t="s">
        <v>2523</v>
      </c>
      <c r="AN39" s="184" t="s">
        <v>2536</v>
      </c>
      <c r="AO39" s="78">
        <v>68</v>
      </c>
      <c r="AP39" s="78">
        <v>68</v>
      </c>
      <c r="AQ39" s="82">
        <v>3790</v>
      </c>
      <c r="AR39" s="82">
        <v>610</v>
      </c>
    </row>
    <row r="40" spans="1:45" s="110" customFormat="1" ht="90" customHeight="1" x14ac:dyDescent="0.2">
      <c r="A40" s="50"/>
      <c r="B40" s="243"/>
      <c r="C40" s="233"/>
      <c r="D40" s="233"/>
      <c r="E40" s="194"/>
      <c r="F40" s="99" t="s">
        <v>2321</v>
      </c>
      <c r="G40" s="99" t="s">
        <v>2319</v>
      </c>
      <c r="H40" s="125" t="s">
        <v>2320</v>
      </c>
      <c r="I40" s="125" t="s">
        <v>2236</v>
      </c>
      <c r="J40" s="126" t="s">
        <v>2259</v>
      </c>
      <c r="K40" s="133">
        <v>166954</v>
      </c>
      <c r="L40" s="121">
        <v>66781</v>
      </c>
      <c r="M40" s="136">
        <v>45078</v>
      </c>
      <c r="N40" s="121">
        <v>158606</v>
      </c>
      <c r="O40" s="121">
        <v>82835</v>
      </c>
      <c r="P40" s="121">
        <v>158606</v>
      </c>
      <c r="Q40" s="121"/>
      <c r="R40" s="121">
        <v>166954</v>
      </c>
      <c r="S40" s="121"/>
      <c r="T40" s="121">
        <v>166954</v>
      </c>
      <c r="U40" s="121"/>
      <c r="V40" s="121">
        <f>+O40</f>
        <v>82835</v>
      </c>
      <c r="W40" s="48">
        <f>+V40/K40</f>
        <v>0.49615462941888183</v>
      </c>
      <c r="X40" s="165">
        <v>73046</v>
      </c>
      <c r="Y40" s="166"/>
      <c r="Z40" s="167"/>
      <c r="AA40" s="172">
        <v>82835</v>
      </c>
      <c r="AB40" s="173"/>
      <c r="AC40" s="174"/>
      <c r="AD40" s="169">
        <v>0</v>
      </c>
      <c r="AE40" s="170"/>
      <c r="AF40" s="171"/>
      <c r="AG40" s="172">
        <v>0</v>
      </c>
      <c r="AH40" s="173"/>
      <c r="AI40" s="174"/>
      <c r="AJ40" s="137">
        <f>MAX(X40:AI40)</f>
        <v>82835</v>
      </c>
      <c r="AK40" s="118">
        <f>+AJ40/N40</f>
        <v>0.5222690188265261</v>
      </c>
      <c r="AL40" s="185"/>
      <c r="AM40" s="185"/>
      <c r="AN40" s="185"/>
      <c r="AO40" s="78">
        <v>1030671</v>
      </c>
      <c r="AP40" s="78">
        <v>1026879</v>
      </c>
      <c r="AQ40" s="82">
        <v>1686777</v>
      </c>
      <c r="AR40" s="82">
        <v>1596358</v>
      </c>
    </row>
    <row r="41" spans="1:45" s="110" customFormat="1" ht="90" customHeight="1" x14ac:dyDescent="0.2">
      <c r="A41" s="50"/>
      <c r="B41" s="243"/>
      <c r="C41" s="232" t="s">
        <v>2272</v>
      </c>
      <c r="D41" s="232" t="s">
        <v>2433</v>
      </c>
      <c r="E41" s="193" t="s">
        <v>2397</v>
      </c>
      <c r="F41" s="139" t="s">
        <v>2451</v>
      </c>
      <c r="G41" s="139" t="s">
        <v>2349</v>
      </c>
      <c r="H41" s="91" t="s">
        <v>2452</v>
      </c>
      <c r="I41" s="91" t="s">
        <v>2269</v>
      </c>
      <c r="J41" s="42" t="s">
        <v>2259</v>
      </c>
      <c r="K41" s="68">
        <f>+T41</f>
        <v>60</v>
      </c>
      <c r="L41" s="121">
        <v>0</v>
      </c>
      <c r="M41" s="46">
        <v>0</v>
      </c>
      <c r="N41" s="121">
        <v>0</v>
      </c>
      <c r="O41" s="121">
        <v>0</v>
      </c>
      <c r="P41" s="121">
        <v>30</v>
      </c>
      <c r="Q41" s="121"/>
      <c r="R41" s="121">
        <v>50</v>
      </c>
      <c r="S41" s="121"/>
      <c r="T41" s="121">
        <v>60</v>
      </c>
      <c r="U41" s="121"/>
      <c r="V41" s="140">
        <v>0</v>
      </c>
      <c r="W41" s="48">
        <v>0</v>
      </c>
      <c r="X41" s="165">
        <v>0</v>
      </c>
      <c r="Y41" s="166"/>
      <c r="Z41" s="167"/>
      <c r="AA41" s="172">
        <v>0</v>
      </c>
      <c r="AB41" s="173"/>
      <c r="AC41" s="174"/>
      <c r="AD41" s="169">
        <v>0</v>
      </c>
      <c r="AE41" s="170"/>
      <c r="AF41" s="171"/>
      <c r="AG41" s="172">
        <v>0</v>
      </c>
      <c r="AH41" s="173"/>
      <c r="AI41" s="174"/>
      <c r="AJ41" s="103">
        <v>0</v>
      </c>
      <c r="AK41" s="48">
        <v>0</v>
      </c>
      <c r="AL41" s="184" t="s">
        <v>2537</v>
      </c>
      <c r="AM41" s="184" t="s">
        <v>2475</v>
      </c>
      <c r="AN41" s="206" t="s">
        <v>2538</v>
      </c>
      <c r="AO41" s="78">
        <v>9295</v>
      </c>
      <c r="AP41" s="78">
        <v>8898</v>
      </c>
      <c r="AQ41" s="295">
        <v>31108</v>
      </c>
      <c r="AR41" s="295">
        <v>3066</v>
      </c>
      <c r="AS41" s="132"/>
    </row>
    <row r="42" spans="1:45" s="110" customFormat="1" ht="67.5" customHeight="1" x14ac:dyDescent="0.2">
      <c r="A42" s="50"/>
      <c r="B42" s="243"/>
      <c r="C42" s="234"/>
      <c r="D42" s="234"/>
      <c r="E42" s="214"/>
      <c r="F42" s="125" t="s">
        <v>2348</v>
      </c>
      <c r="G42" s="139" t="s">
        <v>2349</v>
      </c>
      <c r="H42" s="125" t="s">
        <v>2350</v>
      </c>
      <c r="I42" s="125" t="s">
        <v>2421</v>
      </c>
      <c r="J42" s="126" t="s">
        <v>2261</v>
      </c>
      <c r="K42" s="68">
        <f>+L42+N42+P42+R42+T42</f>
        <v>2</v>
      </c>
      <c r="L42" s="121">
        <v>0</v>
      </c>
      <c r="M42" s="46">
        <f t="shared" ref="M42" si="6">AD42+AG42</f>
        <v>0</v>
      </c>
      <c r="N42" s="121">
        <v>2</v>
      </c>
      <c r="O42" s="121">
        <v>0</v>
      </c>
      <c r="P42" s="121">
        <v>0</v>
      </c>
      <c r="Q42" s="121"/>
      <c r="R42" s="121">
        <v>0</v>
      </c>
      <c r="S42" s="121"/>
      <c r="T42" s="121">
        <v>0</v>
      </c>
      <c r="U42" s="121"/>
      <c r="V42" s="141">
        <v>0</v>
      </c>
      <c r="W42" s="48" t="e">
        <f t="shared" ref="W42:W62" si="7">M42/V42</f>
        <v>#DIV/0!</v>
      </c>
      <c r="X42" s="165">
        <v>0</v>
      </c>
      <c r="Y42" s="166"/>
      <c r="Z42" s="167"/>
      <c r="AA42" s="172">
        <v>0</v>
      </c>
      <c r="AB42" s="173"/>
      <c r="AC42" s="174"/>
      <c r="AD42" s="169">
        <v>0</v>
      </c>
      <c r="AE42" s="170"/>
      <c r="AF42" s="171"/>
      <c r="AG42" s="172">
        <v>0</v>
      </c>
      <c r="AH42" s="173"/>
      <c r="AI42" s="174"/>
      <c r="AJ42" s="103">
        <f t="shared" ref="AJ42" si="8">AD42+AG42</f>
        <v>0</v>
      </c>
      <c r="AK42" s="48">
        <v>0</v>
      </c>
      <c r="AL42" s="185"/>
      <c r="AM42" s="185"/>
      <c r="AN42" s="207"/>
      <c r="AO42" s="78"/>
      <c r="AP42" s="78"/>
      <c r="AQ42" s="295"/>
      <c r="AR42" s="295"/>
    </row>
    <row r="43" spans="1:45" s="55" customFormat="1" ht="84.75" customHeight="1" x14ac:dyDescent="0.2">
      <c r="A43" s="145"/>
      <c r="B43" s="243"/>
      <c r="C43" s="94" t="s">
        <v>2416</v>
      </c>
      <c r="D43" s="92" t="s">
        <v>2433</v>
      </c>
      <c r="E43" s="92" t="s">
        <v>2417</v>
      </c>
      <c r="F43" s="92" t="s">
        <v>2420</v>
      </c>
      <c r="G43" s="92" t="s">
        <v>2418</v>
      </c>
      <c r="H43" s="92" t="s">
        <v>2419</v>
      </c>
      <c r="I43" s="92" t="s">
        <v>2235</v>
      </c>
      <c r="J43" s="146" t="s">
        <v>2261</v>
      </c>
      <c r="K43" s="68">
        <f>+L43+N43+P43+R43+T43</f>
        <v>364000</v>
      </c>
      <c r="L43" s="121">
        <v>2900</v>
      </c>
      <c r="M43" s="46">
        <v>2935</v>
      </c>
      <c r="N43" s="121">
        <v>64850</v>
      </c>
      <c r="O43" s="121">
        <v>12874</v>
      </c>
      <c r="P43" s="121">
        <v>110800</v>
      </c>
      <c r="Q43" s="121"/>
      <c r="R43" s="121">
        <v>116300</v>
      </c>
      <c r="S43" s="121"/>
      <c r="T43" s="121">
        <v>69150</v>
      </c>
      <c r="U43" s="121"/>
      <c r="V43" s="121">
        <f>+M43+O43</f>
        <v>15809</v>
      </c>
      <c r="W43" s="118">
        <f t="shared" ref="W43:W61" si="9">+V43/K43</f>
        <v>4.3431318681318679E-2</v>
      </c>
      <c r="X43" s="165">
        <v>9332</v>
      </c>
      <c r="Y43" s="166"/>
      <c r="Z43" s="167"/>
      <c r="AA43" s="172">
        <v>12874</v>
      </c>
      <c r="AB43" s="173"/>
      <c r="AC43" s="174"/>
      <c r="AD43" s="169">
        <v>0</v>
      </c>
      <c r="AE43" s="170"/>
      <c r="AF43" s="171"/>
      <c r="AG43" s="172">
        <v>0</v>
      </c>
      <c r="AH43" s="173"/>
      <c r="AI43" s="174"/>
      <c r="AJ43" s="138">
        <f>MAX(X43:AI43)</f>
        <v>12874</v>
      </c>
      <c r="AK43" s="118">
        <f>+AJ43/N43</f>
        <v>0.19851966075558983</v>
      </c>
      <c r="AL43" s="49" t="s">
        <v>2539</v>
      </c>
      <c r="AM43" s="49" t="s">
        <v>2540</v>
      </c>
      <c r="AN43" s="49" t="s">
        <v>2541</v>
      </c>
      <c r="AO43" s="78">
        <v>631</v>
      </c>
      <c r="AP43" s="78">
        <v>298</v>
      </c>
      <c r="AQ43" s="82">
        <v>11062</v>
      </c>
      <c r="AR43" s="82">
        <v>4584</v>
      </c>
      <c r="AS43" s="132"/>
    </row>
    <row r="44" spans="1:45" s="16" customFormat="1" ht="100.5" customHeight="1" x14ac:dyDescent="0.2">
      <c r="A44" s="9"/>
      <c r="B44" s="243"/>
      <c r="C44" s="230" t="s">
        <v>2399</v>
      </c>
      <c r="D44" s="193" t="s">
        <v>2433</v>
      </c>
      <c r="E44" s="193" t="s">
        <v>2397</v>
      </c>
      <c r="F44" s="99" t="s">
        <v>2340</v>
      </c>
      <c r="G44" s="99" t="s">
        <v>2341</v>
      </c>
      <c r="H44" s="125" t="s">
        <v>2342</v>
      </c>
      <c r="I44" s="125" t="s">
        <v>2269</v>
      </c>
      <c r="J44" s="126" t="s">
        <v>2261</v>
      </c>
      <c r="K44" s="68">
        <f>+L44+N44+P44+R44+T44</f>
        <v>20</v>
      </c>
      <c r="L44" s="121">
        <v>0</v>
      </c>
      <c r="M44" s="46">
        <f t="shared" ref="M44:M62" si="10">AD44+AG44</f>
        <v>0</v>
      </c>
      <c r="N44" s="121">
        <v>0.01</v>
      </c>
      <c r="O44" s="121">
        <v>0</v>
      </c>
      <c r="P44" s="121">
        <v>2.99</v>
      </c>
      <c r="Q44" s="121"/>
      <c r="R44" s="121">
        <v>10</v>
      </c>
      <c r="S44" s="121"/>
      <c r="T44" s="121">
        <v>7</v>
      </c>
      <c r="U44" s="121"/>
      <c r="V44" s="121">
        <f>+M44+O44</f>
        <v>0</v>
      </c>
      <c r="W44" s="118">
        <f t="shared" si="9"/>
        <v>0</v>
      </c>
      <c r="X44" s="165">
        <v>0</v>
      </c>
      <c r="Y44" s="166"/>
      <c r="Z44" s="167"/>
      <c r="AA44" s="172">
        <v>0</v>
      </c>
      <c r="AB44" s="173"/>
      <c r="AC44" s="174"/>
      <c r="AD44" s="169">
        <v>0</v>
      </c>
      <c r="AE44" s="170"/>
      <c r="AF44" s="171"/>
      <c r="AG44" s="172">
        <v>0</v>
      </c>
      <c r="AH44" s="173"/>
      <c r="AI44" s="174"/>
      <c r="AJ44" s="103">
        <f t="shared" ref="AJ44:AJ66" si="11">AD44+AG44</f>
        <v>0</v>
      </c>
      <c r="AK44" s="48">
        <v>0</v>
      </c>
      <c r="AL44" s="184" t="s">
        <v>2556</v>
      </c>
      <c r="AM44" s="184" t="s">
        <v>2482</v>
      </c>
      <c r="AN44" s="184" t="s">
        <v>2568</v>
      </c>
      <c r="AO44" s="75">
        <v>0</v>
      </c>
      <c r="AP44" s="75">
        <v>0</v>
      </c>
      <c r="AQ44" s="51">
        <v>0</v>
      </c>
      <c r="AR44" s="51">
        <v>0</v>
      </c>
    </row>
    <row r="45" spans="1:45" s="16" customFormat="1" ht="107.25" customHeight="1" x14ac:dyDescent="0.2">
      <c r="A45" s="9"/>
      <c r="B45" s="243"/>
      <c r="C45" s="231"/>
      <c r="D45" s="194"/>
      <c r="E45" s="194"/>
      <c r="F45" s="101" t="s">
        <v>2460</v>
      </c>
      <c r="G45" s="99" t="s">
        <v>2341</v>
      </c>
      <c r="H45" s="125" t="s">
        <v>2423</v>
      </c>
      <c r="I45" s="125" t="s">
        <v>2422</v>
      </c>
      <c r="J45" s="126" t="s">
        <v>2258</v>
      </c>
      <c r="K45" s="133">
        <v>100</v>
      </c>
      <c r="L45" s="121">
        <v>100</v>
      </c>
      <c r="M45" s="46">
        <v>100</v>
      </c>
      <c r="N45" s="121">
        <v>100</v>
      </c>
      <c r="O45" s="121">
        <v>50</v>
      </c>
      <c r="P45" s="121">
        <v>100</v>
      </c>
      <c r="Q45" s="121"/>
      <c r="R45" s="121">
        <v>100</v>
      </c>
      <c r="S45" s="121"/>
      <c r="T45" s="121">
        <v>100</v>
      </c>
      <c r="U45" s="121"/>
      <c r="V45" s="142">
        <f>+AVERAGE(M45,O45,0,0,0)</f>
        <v>30</v>
      </c>
      <c r="W45" s="48">
        <f t="shared" si="9"/>
        <v>0.3</v>
      </c>
      <c r="X45" s="165">
        <v>25</v>
      </c>
      <c r="Y45" s="166"/>
      <c r="Z45" s="167"/>
      <c r="AA45" s="172">
        <v>25</v>
      </c>
      <c r="AB45" s="173"/>
      <c r="AC45" s="174"/>
      <c r="AD45" s="169">
        <v>0</v>
      </c>
      <c r="AE45" s="170"/>
      <c r="AF45" s="171"/>
      <c r="AG45" s="172">
        <v>0</v>
      </c>
      <c r="AH45" s="173"/>
      <c r="AI45" s="174"/>
      <c r="AJ45" s="138">
        <f>+AA45+X45</f>
        <v>50</v>
      </c>
      <c r="AK45" s="118">
        <f t="shared" ref="AK45:AK61" si="12">+AJ45/N45</f>
        <v>0.5</v>
      </c>
      <c r="AL45" s="185"/>
      <c r="AM45" s="185"/>
      <c r="AN45" s="185"/>
      <c r="AO45" s="75">
        <v>398</v>
      </c>
      <c r="AP45" s="75">
        <v>299</v>
      </c>
      <c r="AQ45" s="51">
        <v>94220</v>
      </c>
      <c r="AR45" s="51">
        <v>15216</v>
      </c>
    </row>
    <row r="46" spans="1:45" s="110" customFormat="1" ht="51" customHeight="1" x14ac:dyDescent="0.2">
      <c r="A46" s="50"/>
      <c r="B46" s="244"/>
      <c r="C46" s="230" t="s">
        <v>2272</v>
      </c>
      <c r="D46" s="193" t="s">
        <v>2433</v>
      </c>
      <c r="E46" s="193" t="s">
        <v>2397</v>
      </c>
      <c r="F46" s="139" t="s">
        <v>2336</v>
      </c>
      <c r="G46" s="99" t="s">
        <v>2337</v>
      </c>
      <c r="H46" s="154" t="s">
        <v>2338</v>
      </c>
      <c r="I46" s="154" t="s">
        <v>2421</v>
      </c>
      <c r="J46" s="126" t="s">
        <v>2261</v>
      </c>
      <c r="K46" s="68">
        <f>+L46+N46+P46+R46+T46</f>
        <v>29.599999999999998</v>
      </c>
      <c r="L46" s="121">
        <v>1</v>
      </c>
      <c r="M46" s="46">
        <f t="shared" si="10"/>
        <v>0</v>
      </c>
      <c r="N46" s="121">
        <v>0.01</v>
      </c>
      <c r="O46" s="121">
        <v>0</v>
      </c>
      <c r="P46" s="121">
        <v>11</v>
      </c>
      <c r="Q46" s="121"/>
      <c r="R46" s="121">
        <v>10</v>
      </c>
      <c r="S46" s="121"/>
      <c r="T46" s="121">
        <v>7.59</v>
      </c>
      <c r="U46" s="121"/>
      <c r="V46" s="121">
        <f>+O46+M46</f>
        <v>0</v>
      </c>
      <c r="W46" s="48">
        <f t="shared" si="9"/>
        <v>0</v>
      </c>
      <c r="X46" s="165">
        <v>0</v>
      </c>
      <c r="Y46" s="166"/>
      <c r="Z46" s="167"/>
      <c r="AA46" s="172">
        <v>0</v>
      </c>
      <c r="AB46" s="173"/>
      <c r="AC46" s="174"/>
      <c r="AD46" s="169">
        <v>0</v>
      </c>
      <c r="AE46" s="170"/>
      <c r="AF46" s="171"/>
      <c r="AG46" s="172">
        <v>0</v>
      </c>
      <c r="AH46" s="173"/>
      <c r="AI46" s="174"/>
      <c r="AJ46" s="138">
        <f t="shared" ref="AJ46:AJ62" si="13">+X46</f>
        <v>0</v>
      </c>
      <c r="AK46" s="48">
        <f t="shared" si="12"/>
        <v>0</v>
      </c>
      <c r="AL46" s="184" t="s">
        <v>2561</v>
      </c>
      <c r="AM46" s="184" t="s">
        <v>2482</v>
      </c>
      <c r="AN46" s="184" t="s">
        <v>2569</v>
      </c>
      <c r="AO46" s="186">
        <v>47585</v>
      </c>
      <c r="AP46" s="186">
        <v>8400</v>
      </c>
      <c r="AQ46" s="296">
        <v>102428</v>
      </c>
      <c r="AR46" s="296">
        <v>10573</v>
      </c>
    </row>
    <row r="47" spans="1:45" s="110" customFormat="1" ht="75" customHeight="1" x14ac:dyDescent="0.2">
      <c r="A47" s="50"/>
      <c r="B47" s="243"/>
      <c r="C47" s="241"/>
      <c r="D47" s="214"/>
      <c r="E47" s="214"/>
      <c r="F47" s="139" t="s">
        <v>2557</v>
      </c>
      <c r="G47" s="99" t="s">
        <v>2337</v>
      </c>
      <c r="H47" s="125" t="s">
        <v>2558</v>
      </c>
      <c r="I47" s="125" t="s">
        <v>2421</v>
      </c>
      <c r="J47" s="126" t="s">
        <v>2261</v>
      </c>
      <c r="K47" s="68">
        <f>+L47+N47+P47+R47+T47</f>
        <v>80</v>
      </c>
      <c r="L47" s="121">
        <v>0</v>
      </c>
      <c r="M47" s="46">
        <v>0</v>
      </c>
      <c r="N47" s="121">
        <v>3</v>
      </c>
      <c r="O47" s="121">
        <v>0</v>
      </c>
      <c r="P47" s="121">
        <v>16</v>
      </c>
      <c r="Q47" s="121"/>
      <c r="R47" s="121">
        <v>31</v>
      </c>
      <c r="S47" s="121"/>
      <c r="T47" s="121">
        <v>30</v>
      </c>
      <c r="U47" s="121"/>
      <c r="V47" s="121">
        <f t="shared" ref="V47:V49" si="14">+O47+M47</f>
        <v>0</v>
      </c>
      <c r="W47" s="48">
        <f t="shared" si="9"/>
        <v>0</v>
      </c>
      <c r="X47" s="165">
        <v>0</v>
      </c>
      <c r="Y47" s="166"/>
      <c r="Z47" s="167"/>
      <c r="AA47" s="172">
        <v>0</v>
      </c>
      <c r="AB47" s="173"/>
      <c r="AC47" s="174"/>
      <c r="AD47" s="86"/>
      <c r="AE47" s="87"/>
      <c r="AF47" s="88"/>
      <c r="AG47" s="83"/>
      <c r="AH47" s="84"/>
      <c r="AI47" s="85"/>
      <c r="AJ47" s="138">
        <f t="shared" si="13"/>
        <v>0</v>
      </c>
      <c r="AK47" s="48">
        <f t="shared" si="12"/>
        <v>0</v>
      </c>
      <c r="AL47" s="195"/>
      <c r="AM47" s="195"/>
      <c r="AN47" s="195"/>
      <c r="AO47" s="292"/>
      <c r="AP47" s="292"/>
      <c r="AQ47" s="296"/>
      <c r="AR47" s="296"/>
    </row>
    <row r="48" spans="1:45" s="110" customFormat="1" ht="75" customHeight="1" x14ac:dyDescent="0.2">
      <c r="A48" s="50"/>
      <c r="B48" s="243"/>
      <c r="C48" s="241"/>
      <c r="D48" s="214"/>
      <c r="E48" s="214"/>
      <c r="F48" s="139" t="s">
        <v>2559</v>
      </c>
      <c r="G48" s="99" t="s">
        <v>2337</v>
      </c>
      <c r="H48" s="125" t="s">
        <v>2558</v>
      </c>
      <c r="I48" s="125" t="s">
        <v>2421</v>
      </c>
      <c r="J48" s="126" t="s">
        <v>2261</v>
      </c>
      <c r="K48" s="68">
        <f>+L48+N48+P48+R48+T48</f>
        <v>100</v>
      </c>
      <c r="L48" s="121">
        <v>0</v>
      </c>
      <c r="M48" s="46">
        <v>0</v>
      </c>
      <c r="N48" s="121">
        <v>42</v>
      </c>
      <c r="O48" s="121">
        <v>0</v>
      </c>
      <c r="P48" s="121">
        <v>42</v>
      </c>
      <c r="Q48" s="121"/>
      <c r="R48" s="121">
        <v>16</v>
      </c>
      <c r="S48" s="121"/>
      <c r="T48" s="121">
        <v>0</v>
      </c>
      <c r="U48" s="121"/>
      <c r="V48" s="121">
        <f t="shared" si="14"/>
        <v>0</v>
      </c>
      <c r="W48" s="48">
        <f t="shared" si="9"/>
        <v>0</v>
      </c>
      <c r="X48" s="165">
        <v>0</v>
      </c>
      <c r="Y48" s="166"/>
      <c r="Z48" s="167"/>
      <c r="AA48" s="172">
        <v>0</v>
      </c>
      <c r="AB48" s="173"/>
      <c r="AC48" s="174"/>
      <c r="AD48" s="86"/>
      <c r="AE48" s="87"/>
      <c r="AF48" s="88"/>
      <c r="AG48" s="83"/>
      <c r="AH48" s="84"/>
      <c r="AI48" s="85"/>
      <c r="AJ48" s="138">
        <f t="shared" si="13"/>
        <v>0</v>
      </c>
      <c r="AK48" s="48">
        <f t="shared" si="12"/>
        <v>0</v>
      </c>
      <c r="AL48" s="195"/>
      <c r="AM48" s="195"/>
      <c r="AN48" s="195"/>
      <c r="AO48" s="292"/>
      <c r="AP48" s="292"/>
      <c r="AQ48" s="296"/>
      <c r="AR48" s="296"/>
    </row>
    <row r="49" spans="1:44" s="110" customFormat="1" ht="75" customHeight="1" x14ac:dyDescent="0.2">
      <c r="A49" s="50"/>
      <c r="B49" s="243"/>
      <c r="C49" s="241"/>
      <c r="D49" s="214"/>
      <c r="E49" s="214"/>
      <c r="F49" s="139" t="s">
        <v>2560</v>
      </c>
      <c r="G49" s="99" t="s">
        <v>2337</v>
      </c>
      <c r="H49" s="125" t="s">
        <v>2558</v>
      </c>
      <c r="I49" s="125" t="s">
        <v>2421</v>
      </c>
      <c r="J49" s="126" t="s">
        <v>2261</v>
      </c>
      <c r="K49" s="68">
        <f>+L49+N49+P49+R49+T49</f>
        <v>100</v>
      </c>
      <c r="L49" s="121">
        <v>0</v>
      </c>
      <c r="M49" s="46">
        <v>0</v>
      </c>
      <c r="N49" s="121">
        <v>0</v>
      </c>
      <c r="O49" s="121">
        <v>0</v>
      </c>
      <c r="P49" s="121">
        <v>33</v>
      </c>
      <c r="Q49" s="121"/>
      <c r="R49" s="121">
        <v>41</v>
      </c>
      <c r="S49" s="121"/>
      <c r="T49" s="121">
        <v>26</v>
      </c>
      <c r="U49" s="121"/>
      <c r="V49" s="121">
        <f t="shared" si="14"/>
        <v>0</v>
      </c>
      <c r="W49" s="48">
        <f t="shared" si="9"/>
        <v>0</v>
      </c>
      <c r="X49" s="165">
        <v>0</v>
      </c>
      <c r="Y49" s="166"/>
      <c r="Z49" s="167"/>
      <c r="AA49" s="172">
        <v>0</v>
      </c>
      <c r="AB49" s="173"/>
      <c r="AC49" s="174"/>
      <c r="AD49" s="86"/>
      <c r="AE49" s="87"/>
      <c r="AF49" s="88"/>
      <c r="AG49" s="83"/>
      <c r="AH49" s="84"/>
      <c r="AI49" s="85"/>
      <c r="AJ49" s="138">
        <f t="shared" si="13"/>
        <v>0</v>
      </c>
      <c r="AK49" s="48" t="e">
        <f t="shared" si="12"/>
        <v>#DIV/0!</v>
      </c>
      <c r="AL49" s="195"/>
      <c r="AM49" s="195"/>
      <c r="AN49" s="195"/>
      <c r="AO49" s="187"/>
      <c r="AP49" s="187"/>
      <c r="AQ49" s="296"/>
      <c r="AR49" s="296"/>
    </row>
    <row r="50" spans="1:44" s="110" customFormat="1" ht="81" customHeight="1" x14ac:dyDescent="0.2">
      <c r="A50" s="50"/>
      <c r="B50" s="243"/>
      <c r="C50" s="231"/>
      <c r="D50" s="194"/>
      <c r="E50" s="194"/>
      <c r="F50" s="101" t="s">
        <v>2459</v>
      </c>
      <c r="G50" s="99" t="s">
        <v>2337</v>
      </c>
      <c r="H50" s="125" t="s">
        <v>2424</v>
      </c>
      <c r="I50" s="125" t="s">
        <v>2236</v>
      </c>
      <c r="J50" s="126" t="s">
        <v>2258</v>
      </c>
      <c r="K50" s="133">
        <v>100</v>
      </c>
      <c r="L50" s="121">
        <v>100</v>
      </c>
      <c r="M50" s="46">
        <v>100</v>
      </c>
      <c r="N50" s="121">
        <v>100</v>
      </c>
      <c r="O50" s="121">
        <v>50</v>
      </c>
      <c r="P50" s="121">
        <v>100</v>
      </c>
      <c r="Q50" s="121"/>
      <c r="R50" s="121">
        <v>100</v>
      </c>
      <c r="S50" s="121"/>
      <c r="T50" s="121">
        <v>100</v>
      </c>
      <c r="U50" s="121"/>
      <c r="V50" s="142">
        <f>+AVERAGE(M50,O50,0,0,0)</f>
        <v>30</v>
      </c>
      <c r="W50" s="48">
        <f t="shared" si="9"/>
        <v>0.3</v>
      </c>
      <c r="X50" s="165">
        <v>25</v>
      </c>
      <c r="Y50" s="166"/>
      <c r="Z50" s="167"/>
      <c r="AA50" s="172">
        <v>25</v>
      </c>
      <c r="AB50" s="173"/>
      <c r="AC50" s="174"/>
      <c r="AD50" s="169">
        <v>0</v>
      </c>
      <c r="AE50" s="170"/>
      <c r="AF50" s="171"/>
      <c r="AG50" s="172">
        <v>0</v>
      </c>
      <c r="AH50" s="173"/>
      <c r="AI50" s="174"/>
      <c r="AJ50" s="138">
        <f>+AA50+X50</f>
        <v>50</v>
      </c>
      <c r="AK50" s="118">
        <f t="shared" si="12"/>
        <v>0.5</v>
      </c>
      <c r="AL50" s="185"/>
      <c r="AM50" s="185"/>
      <c r="AN50" s="185"/>
      <c r="AO50" s="75">
        <v>644723</v>
      </c>
      <c r="AP50" s="75">
        <v>394467</v>
      </c>
      <c r="AQ50" s="51">
        <v>1418002</v>
      </c>
      <c r="AR50" s="51">
        <v>497693</v>
      </c>
    </row>
    <row r="51" spans="1:44" s="110" customFormat="1" ht="65.25" customHeight="1" x14ac:dyDescent="0.2">
      <c r="A51" s="50"/>
      <c r="B51" s="243"/>
      <c r="C51" s="124" t="s">
        <v>2272</v>
      </c>
      <c r="D51" s="125" t="s">
        <v>2433</v>
      </c>
      <c r="E51" s="125" t="s">
        <v>2397</v>
      </c>
      <c r="F51" s="125" t="s">
        <v>2373</v>
      </c>
      <c r="G51" s="125" t="s">
        <v>2372</v>
      </c>
      <c r="H51" s="125" t="s">
        <v>2374</v>
      </c>
      <c r="I51" s="125" t="s">
        <v>2269</v>
      </c>
      <c r="J51" s="160" t="s">
        <v>2261</v>
      </c>
      <c r="K51" s="68">
        <f>+L51+N51+P51+R51+T51</f>
        <v>5000</v>
      </c>
      <c r="L51" s="89">
        <v>0</v>
      </c>
      <c r="M51" s="46">
        <f t="shared" si="10"/>
        <v>0</v>
      </c>
      <c r="N51" s="121">
        <v>1593</v>
      </c>
      <c r="O51" s="121">
        <v>1591</v>
      </c>
      <c r="P51" s="121">
        <v>1200</v>
      </c>
      <c r="Q51" s="121">
        <v>0</v>
      </c>
      <c r="R51" s="121">
        <v>2000</v>
      </c>
      <c r="S51" s="121">
        <v>0</v>
      </c>
      <c r="T51" s="121">
        <v>207</v>
      </c>
      <c r="U51" s="121">
        <v>0</v>
      </c>
      <c r="V51" s="143">
        <f>+O51+M51</f>
        <v>1591</v>
      </c>
      <c r="W51" s="48">
        <f t="shared" si="9"/>
        <v>0.31819999999999998</v>
      </c>
      <c r="X51" s="165">
        <v>1327</v>
      </c>
      <c r="Y51" s="166"/>
      <c r="Z51" s="167"/>
      <c r="AA51" s="172">
        <v>1591</v>
      </c>
      <c r="AB51" s="173"/>
      <c r="AC51" s="174"/>
      <c r="AD51" s="169">
        <v>0</v>
      </c>
      <c r="AE51" s="170"/>
      <c r="AF51" s="171"/>
      <c r="AG51" s="172">
        <v>0</v>
      </c>
      <c r="AH51" s="173"/>
      <c r="AI51" s="174"/>
      <c r="AJ51" s="138">
        <f>+AA51</f>
        <v>1591</v>
      </c>
      <c r="AK51" s="118">
        <f t="shared" si="12"/>
        <v>0.99874450721908348</v>
      </c>
      <c r="AL51" s="49" t="s">
        <v>2562</v>
      </c>
      <c r="AM51" s="49" t="s">
        <v>2475</v>
      </c>
      <c r="AN51" s="184" t="s">
        <v>2570</v>
      </c>
      <c r="AO51" s="75">
        <v>0</v>
      </c>
      <c r="AP51" s="75">
        <v>0</v>
      </c>
      <c r="AQ51" s="51">
        <v>0</v>
      </c>
      <c r="AR51" s="51">
        <v>0</v>
      </c>
    </row>
    <row r="52" spans="1:44" s="110" customFormat="1" ht="65.25" customHeight="1" x14ac:dyDescent="0.2">
      <c r="A52" s="50"/>
      <c r="B52" s="243"/>
      <c r="C52" s="124" t="s">
        <v>2272</v>
      </c>
      <c r="D52" s="125" t="s">
        <v>2433</v>
      </c>
      <c r="E52" s="125" t="s">
        <v>2397</v>
      </c>
      <c r="F52" s="125" t="s">
        <v>2583</v>
      </c>
      <c r="G52" s="125" t="s">
        <v>2372</v>
      </c>
      <c r="H52" s="125" t="s">
        <v>2584</v>
      </c>
      <c r="I52" s="125" t="s">
        <v>2235</v>
      </c>
      <c r="J52" s="160" t="s">
        <v>2261</v>
      </c>
      <c r="K52" s="68">
        <v>20977</v>
      </c>
      <c r="L52" s="89">
        <v>0</v>
      </c>
      <c r="M52" s="46">
        <v>0</v>
      </c>
      <c r="N52" s="121">
        <v>5477</v>
      </c>
      <c r="O52" s="121">
        <v>2453</v>
      </c>
      <c r="P52" s="121">
        <v>10500</v>
      </c>
      <c r="Q52" s="121">
        <v>0</v>
      </c>
      <c r="R52" s="121">
        <v>5000</v>
      </c>
      <c r="S52" s="121">
        <v>0</v>
      </c>
      <c r="T52" s="121">
        <v>0</v>
      </c>
      <c r="U52" s="121">
        <v>0</v>
      </c>
      <c r="V52" s="143">
        <v>2453</v>
      </c>
      <c r="W52" s="118">
        <f>V52/K52</f>
        <v>0.11693759832197169</v>
      </c>
      <c r="X52" s="165">
        <v>0</v>
      </c>
      <c r="Y52" s="166"/>
      <c r="Z52" s="167"/>
      <c r="AA52" s="165">
        <v>2453</v>
      </c>
      <c r="AB52" s="166"/>
      <c r="AC52" s="167"/>
      <c r="AD52" s="165">
        <v>0</v>
      </c>
      <c r="AE52" s="166"/>
      <c r="AF52" s="167"/>
      <c r="AG52" s="172">
        <v>0</v>
      </c>
      <c r="AH52" s="173"/>
      <c r="AI52" s="174"/>
      <c r="AJ52" s="138">
        <f>AA52</f>
        <v>2453</v>
      </c>
      <c r="AK52" s="118">
        <f>AJ52/N52</f>
        <v>0.44787292313310206</v>
      </c>
      <c r="AL52" s="98" t="s">
        <v>2587</v>
      </c>
      <c r="AM52" s="90" t="s">
        <v>2588</v>
      </c>
      <c r="AN52" s="195"/>
      <c r="AO52" s="159"/>
      <c r="AP52" s="159"/>
      <c r="AQ52" s="51">
        <v>0</v>
      </c>
      <c r="AR52" s="51">
        <v>0</v>
      </c>
    </row>
    <row r="53" spans="1:44" s="110" customFormat="1" ht="65.25" customHeight="1" x14ac:dyDescent="0.2">
      <c r="A53" s="50"/>
      <c r="B53" s="243"/>
      <c r="C53" s="124" t="s">
        <v>2272</v>
      </c>
      <c r="D53" s="125" t="s">
        <v>2433</v>
      </c>
      <c r="E53" s="125" t="s">
        <v>2397</v>
      </c>
      <c r="F53" s="125" t="s">
        <v>2586</v>
      </c>
      <c r="G53" s="125" t="s">
        <v>2372</v>
      </c>
      <c r="H53" s="125" t="s">
        <v>2585</v>
      </c>
      <c r="I53" s="125" t="s">
        <v>2235</v>
      </c>
      <c r="J53" s="160" t="s">
        <v>2261</v>
      </c>
      <c r="K53" s="68">
        <v>100</v>
      </c>
      <c r="L53" s="89">
        <v>0</v>
      </c>
      <c r="M53" s="46">
        <v>0</v>
      </c>
      <c r="N53" s="121">
        <v>36</v>
      </c>
      <c r="O53" s="121">
        <v>11</v>
      </c>
      <c r="P53" s="121">
        <v>32</v>
      </c>
      <c r="Q53" s="121">
        <v>0</v>
      </c>
      <c r="R53" s="121">
        <v>32</v>
      </c>
      <c r="S53" s="121">
        <v>0</v>
      </c>
      <c r="T53" s="121">
        <v>0</v>
      </c>
      <c r="U53" s="121">
        <v>0</v>
      </c>
      <c r="V53" s="143">
        <f>O53</f>
        <v>11</v>
      </c>
      <c r="W53" s="48">
        <f>V53/K53</f>
        <v>0.11</v>
      </c>
      <c r="X53" s="165">
        <v>0</v>
      </c>
      <c r="Y53" s="166"/>
      <c r="Z53" s="167"/>
      <c r="AA53" s="168">
        <v>11</v>
      </c>
      <c r="AB53" s="168"/>
      <c r="AC53" s="168"/>
      <c r="AD53" s="169">
        <v>0</v>
      </c>
      <c r="AE53" s="170"/>
      <c r="AF53" s="171"/>
      <c r="AG53" s="168">
        <v>0</v>
      </c>
      <c r="AH53" s="168"/>
      <c r="AI53" s="168"/>
      <c r="AJ53" s="161">
        <f>AA53</f>
        <v>11</v>
      </c>
      <c r="AK53" s="48">
        <f>AJ53/N53</f>
        <v>0.30555555555555558</v>
      </c>
      <c r="AL53" s="98" t="s">
        <v>2589</v>
      </c>
      <c r="AM53" s="90" t="s">
        <v>2590</v>
      </c>
      <c r="AN53" s="185"/>
      <c r="AO53" s="159"/>
      <c r="AP53" s="159"/>
      <c r="AQ53" s="51">
        <v>0</v>
      </c>
      <c r="AR53" s="51"/>
    </row>
    <row r="54" spans="1:44" s="110" customFormat="1" ht="63" customHeight="1" x14ac:dyDescent="0.2">
      <c r="A54" s="50"/>
      <c r="B54" s="243"/>
      <c r="C54" s="230" t="s">
        <v>2272</v>
      </c>
      <c r="D54" s="193" t="s">
        <v>2433</v>
      </c>
      <c r="E54" s="193" t="s">
        <v>2397</v>
      </c>
      <c r="F54" s="99" t="s">
        <v>2331</v>
      </c>
      <c r="G54" s="99" t="s">
        <v>2332</v>
      </c>
      <c r="H54" s="125" t="s">
        <v>2425</v>
      </c>
      <c r="I54" s="125" t="s">
        <v>2426</v>
      </c>
      <c r="J54" s="126" t="s">
        <v>2261</v>
      </c>
      <c r="K54" s="68">
        <f>+L54+N54+P54+R54+T54</f>
        <v>6</v>
      </c>
      <c r="L54" s="121">
        <v>0</v>
      </c>
      <c r="M54" s="46">
        <f t="shared" si="10"/>
        <v>0</v>
      </c>
      <c r="N54" s="121">
        <v>3</v>
      </c>
      <c r="O54" s="121">
        <v>3</v>
      </c>
      <c r="P54" s="121">
        <v>3</v>
      </c>
      <c r="Q54" s="121"/>
      <c r="R54" s="121">
        <v>0</v>
      </c>
      <c r="S54" s="121"/>
      <c r="T54" s="121">
        <v>0</v>
      </c>
      <c r="U54" s="121"/>
      <c r="V54" s="142">
        <f>+O54+M54</f>
        <v>3</v>
      </c>
      <c r="W54" s="48">
        <f t="shared" si="9"/>
        <v>0.5</v>
      </c>
      <c r="X54" s="190">
        <v>1</v>
      </c>
      <c r="Y54" s="191"/>
      <c r="Z54" s="192"/>
      <c r="AA54" s="172">
        <v>3</v>
      </c>
      <c r="AB54" s="173"/>
      <c r="AC54" s="174"/>
      <c r="AD54" s="169">
        <v>0</v>
      </c>
      <c r="AE54" s="170"/>
      <c r="AF54" s="171"/>
      <c r="AG54" s="172">
        <v>0</v>
      </c>
      <c r="AH54" s="173"/>
      <c r="AI54" s="174"/>
      <c r="AJ54" s="138">
        <f>+AA54</f>
        <v>3</v>
      </c>
      <c r="AK54" s="48">
        <f t="shared" si="12"/>
        <v>1</v>
      </c>
      <c r="AL54" s="184" t="s">
        <v>2563</v>
      </c>
      <c r="AM54" s="184" t="s">
        <v>2513</v>
      </c>
      <c r="AN54" s="184" t="s">
        <v>2571</v>
      </c>
      <c r="AO54" s="186">
        <v>203</v>
      </c>
      <c r="AP54" s="186">
        <v>0</v>
      </c>
      <c r="AQ54" s="296">
        <v>195</v>
      </c>
      <c r="AR54" s="296">
        <v>0</v>
      </c>
    </row>
    <row r="55" spans="1:44" s="110" customFormat="1" ht="63" customHeight="1" x14ac:dyDescent="0.2">
      <c r="A55" s="50"/>
      <c r="B55" s="243"/>
      <c r="C55" s="241"/>
      <c r="D55" s="214"/>
      <c r="E55" s="214"/>
      <c r="F55" s="100" t="s">
        <v>2456</v>
      </c>
      <c r="G55" s="99" t="s">
        <v>2332</v>
      </c>
      <c r="H55" s="125" t="s">
        <v>2457</v>
      </c>
      <c r="I55" s="125" t="s">
        <v>2426</v>
      </c>
      <c r="J55" s="126" t="s">
        <v>2458</v>
      </c>
      <c r="K55" s="68">
        <f>+L55+N55+P55+R55+T55</f>
        <v>6</v>
      </c>
      <c r="L55" s="121">
        <v>0</v>
      </c>
      <c r="M55" s="46">
        <v>0</v>
      </c>
      <c r="N55" s="121">
        <v>3</v>
      </c>
      <c r="O55" s="121">
        <v>3</v>
      </c>
      <c r="P55" s="121">
        <v>3</v>
      </c>
      <c r="Q55" s="121"/>
      <c r="R55" s="121">
        <v>0</v>
      </c>
      <c r="S55" s="121"/>
      <c r="T55" s="121">
        <v>0</v>
      </c>
      <c r="U55" s="121"/>
      <c r="V55" s="142">
        <f>+O55+M55</f>
        <v>3</v>
      </c>
      <c r="W55" s="48">
        <f t="shared" si="9"/>
        <v>0.5</v>
      </c>
      <c r="X55" s="190">
        <v>1</v>
      </c>
      <c r="Y55" s="191"/>
      <c r="Z55" s="192"/>
      <c r="AA55" s="172">
        <v>3</v>
      </c>
      <c r="AB55" s="173"/>
      <c r="AC55" s="174"/>
      <c r="AD55" s="169">
        <v>0</v>
      </c>
      <c r="AE55" s="170"/>
      <c r="AF55" s="171"/>
      <c r="AG55" s="172">
        <v>0</v>
      </c>
      <c r="AH55" s="173"/>
      <c r="AI55" s="174"/>
      <c r="AJ55" s="138">
        <f>+AA55</f>
        <v>3</v>
      </c>
      <c r="AK55" s="48">
        <f t="shared" si="12"/>
        <v>1</v>
      </c>
      <c r="AL55" s="195"/>
      <c r="AM55" s="195"/>
      <c r="AN55" s="195"/>
      <c r="AO55" s="187"/>
      <c r="AP55" s="187"/>
      <c r="AQ55" s="296"/>
      <c r="AR55" s="296"/>
    </row>
    <row r="56" spans="1:44" s="110" customFormat="1" ht="87.75" customHeight="1" x14ac:dyDescent="0.2">
      <c r="A56" s="50"/>
      <c r="B56" s="243"/>
      <c r="C56" s="231"/>
      <c r="D56" s="194"/>
      <c r="E56" s="194"/>
      <c r="F56" s="101" t="s">
        <v>2455</v>
      </c>
      <c r="G56" s="99" t="s">
        <v>2332</v>
      </c>
      <c r="H56" s="125" t="s">
        <v>2427</v>
      </c>
      <c r="I56" s="125" t="s">
        <v>2236</v>
      </c>
      <c r="J56" s="126" t="s">
        <v>2258</v>
      </c>
      <c r="K56" s="133">
        <v>100</v>
      </c>
      <c r="L56" s="121">
        <v>100</v>
      </c>
      <c r="M56" s="46">
        <v>100</v>
      </c>
      <c r="N56" s="121">
        <v>100</v>
      </c>
      <c r="O56" s="121">
        <v>50</v>
      </c>
      <c r="P56" s="121">
        <v>100</v>
      </c>
      <c r="Q56" s="121"/>
      <c r="R56" s="121">
        <v>100</v>
      </c>
      <c r="S56" s="121"/>
      <c r="T56" s="121">
        <v>100</v>
      </c>
      <c r="U56" s="121"/>
      <c r="V56" s="142">
        <f>+AVERAGE(M56,O56,0,0,0)</f>
        <v>30</v>
      </c>
      <c r="W56" s="48">
        <f t="shared" si="9"/>
        <v>0.3</v>
      </c>
      <c r="X56" s="165">
        <v>25</v>
      </c>
      <c r="Y56" s="166"/>
      <c r="Z56" s="167"/>
      <c r="AA56" s="172">
        <v>25</v>
      </c>
      <c r="AB56" s="173"/>
      <c r="AC56" s="174"/>
      <c r="AD56" s="169">
        <v>0</v>
      </c>
      <c r="AE56" s="170"/>
      <c r="AF56" s="171"/>
      <c r="AG56" s="172">
        <v>0</v>
      </c>
      <c r="AH56" s="173"/>
      <c r="AI56" s="174"/>
      <c r="AJ56" s="138">
        <f>+AA56+X56</f>
        <v>50</v>
      </c>
      <c r="AK56" s="118">
        <f t="shared" si="12"/>
        <v>0.5</v>
      </c>
      <c r="AL56" s="185"/>
      <c r="AM56" s="185"/>
      <c r="AN56" s="185"/>
      <c r="AO56" s="75">
        <v>33138</v>
      </c>
      <c r="AP56" s="75">
        <v>8126</v>
      </c>
      <c r="AQ56" s="51">
        <v>381860</v>
      </c>
      <c r="AR56" s="51">
        <v>219983</v>
      </c>
    </row>
    <row r="57" spans="1:44" s="110" customFormat="1" ht="67.5" customHeight="1" x14ac:dyDescent="0.2">
      <c r="A57" s="50"/>
      <c r="B57" s="243"/>
      <c r="C57" s="230" t="s">
        <v>2272</v>
      </c>
      <c r="D57" s="193" t="s">
        <v>2433</v>
      </c>
      <c r="E57" s="193" t="s">
        <v>2397</v>
      </c>
      <c r="F57" s="91" t="s">
        <v>2333</v>
      </c>
      <c r="G57" s="99" t="s">
        <v>2334</v>
      </c>
      <c r="H57" s="125" t="s">
        <v>2335</v>
      </c>
      <c r="I57" s="125" t="s">
        <v>2269</v>
      </c>
      <c r="J57" s="126" t="s">
        <v>2261</v>
      </c>
      <c r="K57" s="68">
        <f>+L57+N57+P57+R57+T57</f>
        <v>43</v>
      </c>
      <c r="L57" s="121">
        <v>0</v>
      </c>
      <c r="M57" s="46">
        <f t="shared" si="10"/>
        <v>0</v>
      </c>
      <c r="N57" s="121">
        <v>14</v>
      </c>
      <c r="O57" s="121">
        <v>10</v>
      </c>
      <c r="P57" s="121">
        <v>16</v>
      </c>
      <c r="Q57" s="121"/>
      <c r="R57" s="121">
        <v>10</v>
      </c>
      <c r="S57" s="121"/>
      <c r="T57" s="121">
        <v>3</v>
      </c>
      <c r="U57" s="121"/>
      <c r="V57" s="142">
        <f>+O57+M57</f>
        <v>10</v>
      </c>
      <c r="W57" s="48">
        <f t="shared" si="9"/>
        <v>0.23255813953488372</v>
      </c>
      <c r="X57" s="190">
        <v>9</v>
      </c>
      <c r="Y57" s="191"/>
      <c r="Z57" s="192"/>
      <c r="AA57" s="172">
        <v>1</v>
      </c>
      <c r="AB57" s="173"/>
      <c r="AC57" s="174"/>
      <c r="AD57" s="169">
        <v>0</v>
      </c>
      <c r="AE57" s="170"/>
      <c r="AF57" s="171"/>
      <c r="AG57" s="172">
        <v>0</v>
      </c>
      <c r="AH57" s="173"/>
      <c r="AI57" s="174"/>
      <c r="AJ57" s="138">
        <f>+AA57+X57</f>
        <v>10</v>
      </c>
      <c r="AK57" s="48">
        <f t="shared" si="12"/>
        <v>0.7142857142857143</v>
      </c>
      <c r="AL57" s="184" t="s">
        <v>2512</v>
      </c>
      <c r="AM57" s="184" t="s">
        <v>2511</v>
      </c>
      <c r="AN57" s="184" t="s">
        <v>2572</v>
      </c>
      <c r="AO57" s="75">
        <v>0</v>
      </c>
      <c r="AP57" s="75">
        <v>0</v>
      </c>
      <c r="AQ57" s="51">
        <v>0</v>
      </c>
      <c r="AR57" s="51">
        <v>0</v>
      </c>
    </row>
    <row r="58" spans="1:44" s="110" customFormat="1" ht="67.5" customHeight="1" x14ac:dyDescent="0.2">
      <c r="A58" s="50"/>
      <c r="B58" s="243"/>
      <c r="C58" s="231"/>
      <c r="D58" s="194"/>
      <c r="E58" s="194"/>
      <c r="F58" s="91" t="s">
        <v>2463</v>
      </c>
      <c r="G58" s="99" t="s">
        <v>2334</v>
      </c>
      <c r="H58" s="91" t="s">
        <v>2428</v>
      </c>
      <c r="I58" s="91" t="s">
        <v>2236</v>
      </c>
      <c r="J58" s="126" t="s">
        <v>2258</v>
      </c>
      <c r="K58" s="133">
        <v>100</v>
      </c>
      <c r="L58" s="121">
        <v>100</v>
      </c>
      <c r="M58" s="46">
        <v>100</v>
      </c>
      <c r="N58" s="121">
        <v>100</v>
      </c>
      <c r="O58" s="121">
        <v>50</v>
      </c>
      <c r="P58" s="121">
        <v>100</v>
      </c>
      <c r="Q58" s="121">
        <v>100</v>
      </c>
      <c r="R58" s="121">
        <v>100</v>
      </c>
      <c r="S58" s="121">
        <v>100</v>
      </c>
      <c r="T58" s="121">
        <v>100</v>
      </c>
      <c r="U58" s="121"/>
      <c r="V58" s="142">
        <f>+AVERAGE(M58,O58,0,0,0)</f>
        <v>30</v>
      </c>
      <c r="W58" s="48">
        <f t="shared" si="9"/>
        <v>0.3</v>
      </c>
      <c r="X58" s="165">
        <v>25</v>
      </c>
      <c r="Y58" s="166"/>
      <c r="Z58" s="167"/>
      <c r="AA58" s="172">
        <v>25</v>
      </c>
      <c r="AB58" s="173"/>
      <c r="AC58" s="174"/>
      <c r="AD58" s="169">
        <v>0</v>
      </c>
      <c r="AE58" s="170"/>
      <c r="AF58" s="171"/>
      <c r="AG58" s="172">
        <v>0</v>
      </c>
      <c r="AH58" s="173"/>
      <c r="AI58" s="174"/>
      <c r="AJ58" s="138">
        <f>+AA58+X58</f>
        <v>50</v>
      </c>
      <c r="AK58" s="118">
        <f t="shared" si="12"/>
        <v>0.5</v>
      </c>
      <c r="AL58" s="185"/>
      <c r="AM58" s="185"/>
      <c r="AN58" s="185"/>
      <c r="AO58" s="75">
        <v>20166</v>
      </c>
      <c r="AP58" s="75">
        <v>10404</v>
      </c>
      <c r="AQ58" s="51">
        <v>41277</v>
      </c>
      <c r="AR58" s="51">
        <v>5043</v>
      </c>
    </row>
    <row r="59" spans="1:44" s="110" customFormat="1" ht="47.25" customHeight="1" x14ac:dyDescent="0.2">
      <c r="A59" s="50"/>
      <c r="B59" s="243"/>
      <c r="C59" s="230" t="s">
        <v>2272</v>
      </c>
      <c r="D59" s="193" t="s">
        <v>2433</v>
      </c>
      <c r="E59" s="193" t="s">
        <v>2397</v>
      </c>
      <c r="F59" s="193" t="s">
        <v>2329</v>
      </c>
      <c r="G59" s="99" t="s">
        <v>2330</v>
      </c>
      <c r="H59" s="193" t="s">
        <v>2339</v>
      </c>
      <c r="I59" s="139" t="s">
        <v>2391</v>
      </c>
      <c r="J59" s="42" t="s">
        <v>2259</v>
      </c>
      <c r="K59" s="102">
        <v>100</v>
      </c>
      <c r="L59" s="69">
        <v>20</v>
      </c>
      <c r="M59" s="46">
        <v>20</v>
      </c>
      <c r="N59" s="69">
        <v>40</v>
      </c>
      <c r="O59" s="69">
        <v>30</v>
      </c>
      <c r="P59" s="69">
        <v>60</v>
      </c>
      <c r="Q59" s="69"/>
      <c r="R59" s="69">
        <v>80</v>
      </c>
      <c r="S59" s="69"/>
      <c r="T59" s="69">
        <v>100</v>
      </c>
      <c r="U59" s="69"/>
      <c r="V59" s="121">
        <f>+O59</f>
        <v>30</v>
      </c>
      <c r="W59" s="48">
        <f t="shared" si="9"/>
        <v>0.3</v>
      </c>
      <c r="X59" s="190">
        <v>25</v>
      </c>
      <c r="Y59" s="191"/>
      <c r="Z59" s="192"/>
      <c r="AA59" s="172">
        <v>30</v>
      </c>
      <c r="AB59" s="173"/>
      <c r="AC59" s="174"/>
      <c r="AD59" s="169">
        <v>0</v>
      </c>
      <c r="AE59" s="170"/>
      <c r="AF59" s="171"/>
      <c r="AG59" s="172">
        <v>0</v>
      </c>
      <c r="AH59" s="173"/>
      <c r="AI59" s="174"/>
      <c r="AJ59" s="138">
        <f>+AA59</f>
        <v>30</v>
      </c>
      <c r="AK59" s="118">
        <f t="shared" si="12"/>
        <v>0.75</v>
      </c>
      <c r="AL59" s="184" t="s">
        <v>2510</v>
      </c>
      <c r="AM59" s="184" t="s">
        <v>2483</v>
      </c>
      <c r="AN59" s="184" t="s">
        <v>2573</v>
      </c>
      <c r="AO59" s="75">
        <v>0</v>
      </c>
      <c r="AP59" s="75">
        <v>0</v>
      </c>
      <c r="AQ59" s="51">
        <v>164</v>
      </c>
      <c r="AR59" s="51">
        <v>164</v>
      </c>
    </row>
    <row r="60" spans="1:44" s="110" customFormat="1" ht="47.25" customHeight="1" x14ac:dyDescent="0.2">
      <c r="A60" s="50"/>
      <c r="B60" s="243"/>
      <c r="C60" s="231"/>
      <c r="D60" s="194"/>
      <c r="E60" s="194"/>
      <c r="F60" s="194"/>
      <c r="G60" s="99" t="s">
        <v>2330</v>
      </c>
      <c r="H60" s="194"/>
      <c r="I60" s="139" t="s">
        <v>2235</v>
      </c>
      <c r="J60" s="42" t="s">
        <v>2258</v>
      </c>
      <c r="K60" s="102">
        <v>1</v>
      </c>
      <c r="L60" s="69">
        <v>1</v>
      </c>
      <c r="M60" s="46">
        <v>1</v>
      </c>
      <c r="N60" s="69">
        <v>1</v>
      </c>
      <c r="O60" s="69">
        <v>0.85</v>
      </c>
      <c r="P60" s="69">
        <v>1</v>
      </c>
      <c r="Q60" s="69"/>
      <c r="R60" s="69">
        <v>1</v>
      </c>
      <c r="S60" s="69"/>
      <c r="T60" s="69">
        <v>1</v>
      </c>
      <c r="U60" s="69"/>
      <c r="V60" s="142">
        <f>+AVERAGE(M60,O60,0,0,0)</f>
        <v>0.37</v>
      </c>
      <c r="W60" s="118">
        <f>+(O60+M60)/5</f>
        <v>0.37</v>
      </c>
      <c r="X60" s="190">
        <v>0.26</v>
      </c>
      <c r="Y60" s="191"/>
      <c r="Z60" s="192"/>
      <c r="AA60" s="172">
        <f>0.85-X60</f>
        <v>0.59</v>
      </c>
      <c r="AB60" s="173"/>
      <c r="AC60" s="174"/>
      <c r="AD60" s="169">
        <v>0</v>
      </c>
      <c r="AE60" s="170"/>
      <c r="AF60" s="171"/>
      <c r="AG60" s="172">
        <v>0</v>
      </c>
      <c r="AH60" s="173"/>
      <c r="AI60" s="174"/>
      <c r="AJ60" s="138">
        <f>+AA60+X60</f>
        <v>0.85</v>
      </c>
      <c r="AK60" s="48">
        <f t="shared" si="12"/>
        <v>0.85</v>
      </c>
      <c r="AL60" s="185"/>
      <c r="AM60" s="185"/>
      <c r="AN60" s="185"/>
      <c r="AO60" s="75">
        <v>2224</v>
      </c>
      <c r="AP60" s="75">
        <v>2224</v>
      </c>
      <c r="AQ60" s="51">
        <v>1655</v>
      </c>
      <c r="AR60" s="51">
        <v>1037</v>
      </c>
    </row>
    <row r="61" spans="1:44" s="110" customFormat="1" ht="79.5" customHeight="1" x14ac:dyDescent="0.2">
      <c r="A61" s="50"/>
      <c r="B61" s="243"/>
      <c r="C61" s="94" t="s">
        <v>2272</v>
      </c>
      <c r="D61" s="92" t="s">
        <v>2433</v>
      </c>
      <c r="E61" s="92" t="s">
        <v>2397</v>
      </c>
      <c r="F61" s="92" t="s">
        <v>2386</v>
      </c>
      <c r="G61" s="92" t="s">
        <v>2385</v>
      </c>
      <c r="H61" s="92" t="s">
        <v>2387</v>
      </c>
      <c r="I61" s="91" t="s">
        <v>2236</v>
      </c>
      <c r="J61" s="42" t="s">
        <v>2258</v>
      </c>
      <c r="K61" s="102">
        <v>100</v>
      </c>
      <c r="L61" s="69">
        <v>100</v>
      </c>
      <c r="M61" s="46">
        <v>100</v>
      </c>
      <c r="N61" s="69">
        <v>100</v>
      </c>
      <c r="O61" s="69">
        <v>50</v>
      </c>
      <c r="P61" s="69">
        <v>100</v>
      </c>
      <c r="Q61" s="69"/>
      <c r="R61" s="69">
        <v>100</v>
      </c>
      <c r="S61" s="69"/>
      <c r="T61" s="69">
        <v>100</v>
      </c>
      <c r="U61" s="69"/>
      <c r="V61" s="142">
        <f>+AVERAGE(M61,O61,0,0,0)</f>
        <v>30</v>
      </c>
      <c r="W61" s="48">
        <f t="shared" si="9"/>
        <v>0.3</v>
      </c>
      <c r="X61" s="165">
        <v>25</v>
      </c>
      <c r="Y61" s="166"/>
      <c r="Z61" s="167"/>
      <c r="AA61" s="172">
        <v>25</v>
      </c>
      <c r="AB61" s="173"/>
      <c r="AC61" s="174"/>
      <c r="AD61" s="169">
        <v>0</v>
      </c>
      <c r="AE61" s="170"/>
      <c r="AF61" s="171"/>
      <c r="AG61" s="172">
        <v>0</v>
      </c>
      <c r="AH61" s="173"/>
      <c r="AI61" s="174"/>
      <c r="AJ61" s="138">
        <f>+AA61+X61</f>
        <v>50</v>
      </c>
      <c r="AK61" s="118">
        <f t="shared" si="12"/>
        <v>0.5</v>
      </c>
      <c r="AL61" s="49" t="s">
        <v>2508</v>
      </c>
      <c r="AM61" s="49" t="s">
        <v>2509</v>
      </c>
      <c r="AN61" s="49" t="s">
        <v>2572</v>
      </c>
      <c r="AO61" s="75">
        <v>18946</v>
      </c>
      <c r="AP61" s="75">
        <v>18852</v>
      </c>
      <c r="AQ61" s="51">
        <v>102742</v>
      </c>
      <c r="AR61" s="51">
        <v>9821</v>
      </c>
    </row>
    <row r="62" spans="1:44" s="110" customFormat="1" ht="47.25" customHeight="1" x14ac:dyDescent="0.2">
      <c r="A62" s="50"/>
      <c r="B62" s="243"/>
      <c r="C62" s="230" t="s">
        <v>2272</v>
      </c>
      <c r="D62" s="193" t="s">
        <v>2433</v>
      </c>
      <c r="E62" s="193" t="s">
        <v>2397</v>
      </c>
      <c r="F62" s="99" t="s">
        <v>2352</v>
      </c>
      <c r="G62" s="99" t="s">
        <v>2393</v>
      </c>
      <c r="H62" s="92" t="s">
        <v>2394</v>
      </c>
      <c r="I62" s="91" t="s">
        <v>2269</v>
      </c>
      <c r="J62" s="42" t="s">
        <v>2261</v>
      </c>
      <c r="K62" s="68">
        <f>+L62+N62+P62+R62+T62</f>
        <v>1</v>
      </c>
      <c r="L62" s="69">
        <v>0</v>
      </c>
      <c r="M62" s="46">
        <f t="shared" si="10"/>
        <v>0</v>
      </c>
      <c r="N62" s="69">
        <v>0</v>
      </c>
      <c r="O62" s="69">
        <v>0</v>
      </c>
      <c r="P62" s="69">
        <v>0.3</v>
      </c>
      <c r="Q62" s="69"/>
      <c r="R62" s="69">
        <v>0.7</v>
      </c>
      <c r="S62" s="69"/>
      <c r="T62" s="69">
        <v>0</v>
      </c>
      <c r="U62" s="69"/>
      <c r="V62" s="47">
        <v>0</v>
      </c>
      <c r="W62" s="48" t="e">
        <f t="shared" si="7"/>
        <v>#DIV/0!</v>
      </c>
      <c r="X62" s="165">
        <v>0</v>
      </c>
      <c r="Y62" s="166"/>
      <c r="Z62" s="167"/>
      <c r="AA62" s="172">
        <v>0</v>
      </c>
      <c r="AB62" s="173"/>
      <c r="AC62" s="174"/>
      <c r="AD62" s="169">
        <v>0</v>
      </c>
      <c r="AE62" s="170"/>
      <c r="AF62" s="171"/>
      <c r="AG62" s="172">
        <v>0</v>
      </c>
      <c r="AH62" s="173"/>
      <c r="AI62" s="174"/>
      <c r="AJ62" s="138">
        <f t="shared" si="13"/>
        <v>0</v>
      </c>
      <c r="AK62" s="48">
        <v>0</v>
      </c>
      <c r="AL62" s="184" t="s">
        <v>2507</v>
      </c>
      <c r="AM62" s="184" t="s">
        <v>2484</v>
      </c>
      <c r="AN62" s="184" t="s">
        <v>2574</v>
      </c>
      <c r="AO62" s="75">
        <v>0</v>
      </c>
      <c r="AP62" s="75">
        <v>0</v>
      </c>
      <c r="AQ62" s="51">
        <v>0</v>
      </c>
      <c r="AR62" s="51">
        <v>0</v>
      </c>
    </row>
    <row r="63" spans="1:44" s="110" customFormat="1" ht="47.25" customHeight="1" x14ac:dyDescent="0.2">
      <c r="A63" s="50"/>
      <c r="B63" s="243"/>
      <c r="C63" s="231"/>
      <c r="D63" s="194"/>
      <c r="E63" s="194"/>
      <c r="F63" s="101" t="s">
        <v>2464</v>
      </c>
      <c r="G63" s="99" t="s">
        <v>2393</v>
      </c>
      <c r="H63" s="92" t="s">
        <v>2429</v>
      </c>
      <c r="I63" s="91" t="s">
        <v>2236</v>
      </c>
      <c r="J63" s="42" t="s">
        <v>2258</v>
      </c>
      <c r="K63" s="102">
        <v>100</v>
      </c>
      <c r="L63" s="69">
        <v>100</v>
      </c>
      <c r="M63" s="46">
        <v>100</v>
      </c>
      <c r="N63" s="69">
        <v>100</v>
      </c>
      <c r="O63" s="69">
        <v>50</v>
      </c>
      <c r="P63" s="69">
        <v>100</v>
      </c>
      <c r="Q63" s="69"/>
      <c r="R63" s="69">
        <v>100</v>
      </c>
      <c r="S63" s="69"/>
      <c r="T63" s="69">
        <v>100</v>
      </c>
      <c r="U63" s="69"/>
      <c r="V63" s="142">
        <f>+AVERAGE(M63,O63,0,0,0)</f>
        <v>30</v>
      </c>
      <c r="W63" s="48">
        <f>+V63/K63</f>
        <v>0.3</v>
      </c>
      <c r="X63" s="165">
        <v>25</v>
      </c>
      <c r="Y63" s="166"/>
      <c r="Z63" s="167"/>
      <c r="AA63" s="172">
        <v>25</v>
      </c>
      <c r="AB63" s="173"/>
      <c r="AC63" s="174"/>
      <c r="AD63" s="169">
        <v>0</v>
      </c>
      <c r="AE63" s="170"/>
      <c r="AF63" s="171"/>
      <c r="AG63" s="172">
        <v>0</v>
      </c>
      <c r="AH63" s="173"/>
      <c r="AI63" s="174"/>
      <c r="AJ63" s="138">
        <f>+AA63+X63</f>
        <v>50</v>
      </c>
      <c r="AK63" s="118">
        <f>+AJ63/N63</f>
        <v>0.5</v>
      </c>
      <c r="AL63" s="185"/>
      <c r="AM63" s="185"/>
      <c r="AN63" s="185"/>
      <c r="AO63" s="75">
        <v>0</v>
      </c>
      <c r="AP63" s="75">
        <v>0</v>
      </c>
      <c r="AQ63" s="51">
        <v>25171</v>
      </c>
      <c r="AR63" s="51">
        <v>171</v>
      </c>
    </row>
    <row r="64" spans="1:44" s="110" customFormat="1" ht="67.5" customHeight="1" x14ac:dyDescent="0.2">
      <c r="A64" s="50"/>
      <c r="B64" s="243"/>
      <c r="C64" s="94" t="s">
        <v>2272</v>
      </c>
      <c r="D64" s="92" t="s">
        <v>2433</v>
      </c>
      <c r="E64" s="92" t="s">
        <v>2437</v>
      </c>
      <c r="F64" s="163" t="s">
        <v>2440</v>
      </c>
      <c r="G64" s="92" t="s">
        <v>2436</v>
      </c>
      <c r="H64" s="92" t="s">
        <v>2438</v>
      </c>
      <c r="I64" s="91" t="s">
        <v>2392</v>
      </c>
      <c r="J64" s="42" t="s">
        <v>2259</v>
      </c>
      <c r="K64" s="68">
        <f>100</f>
        <v>100</v>
      </c>
      <c r="L64" s="69">
        <v>0</v>
      </c>
      <c r="M64" s="46">
        <v>0</v>
      </c>
      <c r="N64" s="69">
        <v>20</v>
      </c>
      <c r="O64" s="69">
        <v>8.48</v>
      </c>
      <c r="P64" s="69">
        <v>70</v>
      </c>
      <c r="Q64" s="69"/>
      <c r="R64" s="69">
        <v>100</v>
      </c>
      <c r="S64" s="69"/>
      <c r="T64" s="69">
        <v>0</v>
      </c>
      <c r="U64" s="69"/>
      <c r="V64" s="117">
        <f>+O64</f>
        <v>8.48</v>
      </c>
      <c r="W64" s="118">
        <f>V64/K64</f>
        <v>8.48E-2</v>
      </c>
      <c r="X64" s="165">
        <v>3.97</v>
      </c>
      <c r="Y64" s="166"/>
      <c r="Z64" s="167"/>
      <c r="AA64" s="172">
        <f>8.48-X64</f>
        <v>4.51</v>
      </c>
      <c r="AB64" s="173"/>
      <c r="AC64" s="174"/>
      <c r="AD64" s="169">
        <v>0</v>
      </c>
      <c r="AE64" s="170"/>
      <c r="AF64" s="171"/>
      <c r="AG64" s="172">
        <v>0</v>
      </c>
      <c r="AH64" s="173"/>
      <c r="AI64" s="174"/>
      <c r="AJ64" s="138">
        <f>+AA64+X64</f>
        <v>8.48</v>
      </c>
      <c r="AK64" s="118">
        <f>+AJ64/N64</f>
        <v>0.42400000000000004</v>
      </c>
      <c r="AL64" s="49" t="s">
        <v>2503</v>
      </c>
      <c r="AM64" s="49" t="s">
        <v>2504</v>
      </c>
      <c r="AN64" s="49" t="s">
        <v>2591</v>
      </c>
      <c r="AO64" s="75">
        <v>0</v>
      </c>
      <c r="AP64" s="75">
        <v>0</v>
      </c>
      <c r="AQ64" s="51">
        <v>45320</v>
      </c>
      <c r="AR64" s="51">
        <v>43081</v>
      </c>
    </row>
    <row r="65" spans="1:49" s="110" customFormat="1" ht="53.25" customHeight="1" x14ac:dyDescent="0.2">
      <c r="A65" s="50"/>
      <c r="B65" s="243"/>
      <c r="C65" s="94" t="s">
        <v>2272</v>
      </c>
      <c r="D65" s="92" t="s">
        <v>2433</v>
      </c>
      <c r="E65" s="92" t="s">
        <v>2437</v>
      </c>
      <c r="F65" s="163" t="s">
        <v>2441</v>
      </c>
      <c r="G65" s="92" t="s">
        <v>2468</v>
      </c>
      <c r="H65" s="92" t="s">
        <v>2439</v>
      </c>
      <c r="I65" s="91" t="s">
        <v>2392</v>
      </c>
      <c r="J65" s="42" t="s">
        <v>2259</v>
      </c>
      <c r="K65" s="68">
        <v>60</v>
      </c>
      <c r="L65" s="69">
        <v>20.28</v>
      </c>
      <c r="M65" s="46">
        <v>19.91</v>
      </c>
      <c r="N65" s="69">
        <v>23.69</v>
      </c>
      <c r="O65" s="69">
        <v>21.13</v>
      </c>
      <c r="P65" s="69">
        <v>33.729999999999997</v>
      </c>
      <c r="Q65" s="69"/>
      <c r="R65" s="69">
        <v>40.08</v>
      </c>
      <c r="S65" s="69"/>
      <c r="T65" s="69">
        <v>60</v>
      </c>
      <c r="U65" s="69"/>
      <c r="V65" s="69">
        <f>+O65</f>
        <v>21.13</v>
      </c>
      <c r="W65" s="118">
        <f>+(V65-19.44)/(60-19.44)</f>
        <v>4.1666666666666609E-2</v>
      </c>
      <c r="X65" s="165">
        <v>20.49</v>
      </c>
      <c r="Y65" s="166"/>
      <c r="Z65" s="167"/>
      <c r="AA65" s="172">
        <v>21.13</v>
      </c>
      <c r="AB65" s="173"/>
      <c r="AC65" s="174"/>
      <c r="AD65" s="169">
        <v>0</v>
      </c>
      <c r="AE65" s="170"/>
      <c r="AF65" s="171"/>
      <c r="AG65" s="172">
        <v>0</v>
      </c>
      <c r="AH65" s="173"/>
      <c r="AI65" s="174"/>
      <c r="AJ65" s="138">
        <f>+AA65</f>
        <v>21.13</v>
      </c>
      <c r="AK65" s="118">
        <f>+(AJ65-M65)/(N65-M65)</f>
        <v>0.32275132275132234</v>
      </c>
      <c r="AL65" s="49" t="s">
        <v>2505</v>
      </c>
      <c r="AM65" s="49" t="s">
        <v>2506</v>
      </c>
      <c r="AN65" s="49" t="s">
        <v>2592</v>
      </c>
      <c r="AO65" s="75">
        <v>432945</v>
      </c>
      <c r="AP65" s="75">
        <v>171196</v>
      </c>
      <c r="AQ65" s="51">
        <v>610409</v>
      </c>
      <c r="AR65" s="51">
        <v>333097</v>
      </c>
    </row>
    <row r="66" spans="1:49" s="110" customFormat="1" ht="96.75" customHeight="1" x14ac:dyDescent="0.2">
      <c r="A66" s="50"/>
      <c r="B66" s="245"/>
      <c r="C66" s="94" t="s">
        <v>2271</v>
      </c>
      <c r="D66" s="92" t="s">
        <v>2434</v>
      </c>
      <c r="E66" s="92" t="s">
        <v>2400</v>
      </c>
      <c r="F66" s="92" t="s">
        <v>2401</v>
      </c>
      <c r="G66" s="92" t="s">
        <v>2402</v>
      </c>
      <c r="H66" s="92" t="s">
        <v>2403</v>
      </c>
      <c r="I66" s="91" t="s">
        <v>2235</v>
      </c>
      <c r="J66" s="42" t="s">
        <v>2259</v>
      </c>
      <c r="K66" s="102">
        <v>4</v>
      </c>
      <c r="L66" s="69">
        <v>0</v>
      </c>
      <c r="M66" s="46">
        <v>0</v>
      </c>
      <c r="N66" s="69">
        <v>1</v>
      </c>
      <c r="O66" s="69">
        <v>0</v>
      </c>
      <c r="P66" s="69">
        <v>2</v>
      </c>
      <c r="Q66" s="69">
        <v>0</v>
      </c>
      <c r="R66" s="69">
        <v>3</v>
      </c>
      <c r="S66" s="69">
        <v>0</v>
      </c>
      <c r="T66" s="69">
        <v>4</v>
      </c>
      <c r="U66" s="69">
        <v>0</v>
      </c>
      <c r="V66" s="69">
        <v>0</v>
      </c>
      <c r="W66" s="48">
        <f>AD66</f>
        <v>0</v>
      </c>
      <c r="X66" s="165">
        <v>0</v>
      </c>
      <c r="Y66" s="166"/>
      <c r="Z66" s="167"/>
      <c r="AA66" s="172">
        <v>0</v>
      </c>
      <c r="AB66" s="173"/>
      <c r="AC66" s="174"/>
      <c r="AD66" s="169">
        <v>0</v>
      </c>
      <c r="AE66" s="170"/>
      <c r="AF66" s="171"/>
      <c r="AG66" s="172">
        <v>0</v>
      </c>
      <c r="AH66" s="173"/>
      <c r="AI66" s="174"/>
      <c r="AJ66" s="103">
        <f t="shared" si="11"/>
        <v>0</v>
      </c>
      <c r="AK66" s="48">
        <v>0</v>
      </c>
      <c r="AL66" s="49" t="s">
        <v>2502</v>
      </c>
      <c r="AM66" s="49" t="s">
        <v>2485</v>
      </c>
      <c r="AN66" s="184" t="s">
        <v>2596</v>
      </c>
      <c r="AO66" s="51">
        <v>1124</v>
      </c>
      <c r="AP66" s="114">
        <v>1124</v>
      </c>
      <c r="AQ66" s="295">
        <v>625</v>
      </c>
      <c r="AR66" s="295">
        <v>482</v>
      </c>
    </row>
    <row r="67" spans="1:49" s="110" customFormat="1" ht="96.75" customHeight="1" x14ac:dyDescent="0.2">
      <c r="A67" s="50"/>
      <c r="B67" s="245"/>
      <c r="C67" s="94" t="s">
        <v>2271</v>
      </c>
      <c r="D67" s="92" t="s">
        <v>2434</v>
      </c>
      <c r="E67" s="92" t="s">
        <v>2400</v>
      </c>
      <c r="F67" s="92" t="s">
        <v>2401</v>
      </c>
      <c r="G67" s="92" t="s">
        <v>2402</v>
      </c>
      <c r="H67" s="92" t="s">
        <v>2575</v>
      </c>
      <c r="I67" s="91" t="s">
        <v>2235</v>
      </c>
      <c r="J67" s="42" t="s">
        <v>2261</v>
      </c>
      <c r="K67" s="102">
        <v>100</v>
      </c>
      <c r="L67" s="69">
        <v>0</v>
      </c>
      <c r="M67" s="46">
        <v>0</v>
      </c>
      <c r="N67" s="69">
        <v>45</v>
      </c>
      <c r="O67" s="69">
        <v>30</v>
      </c>
      <c r="P67" s="69">
        <v>20</v>
      </c>
      <c r="Q67" s="69">
        <v>0</v>
      </c>
      <c r="R67" s="69">
        <v>35</v>
      </c>
      <c r="S67" s="69">
        <v>0</v>
      </c>
      <c r="T67" s="69">
        <v>0</v>
      </c>
      <c r="U67" s="69"/>
      <c r="V67" s="69">
        <f>M67+O67+Q67+S67+U67</f>
        <v>30</v>
      </c>
      <c r="W67" s="48">
        <f>V67/K67</f>
        <v>0.3</v>
      </c>
      <c r="X67" s="165">
        <v>0</v>
      </c>
      <c r="Y67" s="166"/>
      <c r="Z67" s="167"/>
      <c r="AA67" s="165">
        <v>30</v>
      </c>
      <c r="AB67" s="166"/>
      <c r="AC67" s="167"/>
      <c r="AD67" s="165"/>
      <c r="AE67" s="166"/>
      <c r="AF67" s="167"/>
      <c r="AG67" s="178"/>
      <c r="AH67" s="178"/>
      <c r="AI67" s="178"/>
      <c r="AJ67" s="104"/>
      <c r="AK67" s="104">
        <f>AA67</f>
        <v>30</v>
      </c>
      <c r="AL67" s="49" t="s">
        <v>2577</v>
      </c>
      <c r="AM67" s="105" t="s">
        <v>2576</v>
      </c>
      <c r="AN67" s="185"/>
      <c r="AO67" s="105"/>
      <c r="AP67" s="113"/>
      <c r="AQ67" s="295"/>
      <c r="AR67" s="295"/>
      <c r="AS67" s="177"/>
      <c r="AT67" s="177"/>
      <c r="AU67" s="177"/>
      <c r="AV67" s="111"/>
      <c r="AW67" s="112"/>
    </row>
    <row r="68" spans="1:49" s="110" customFormat="1" ht="90" customHeight="1" x14ac:dyDescent="0.2">
      <c r="A68" s="50"/>
      <c r="B68" s="243"/>
      <c r="C68" s="94" t="s">
        <v>2443</v>
      </c>
      <c r="D68" s="92" t="s">
        <v>2434</v>
      </c>
      <c r="E68" s="91" t="s">
        <v>2400</v>
      </c>
      <c r="F68" s="92" t="s">
        <v>2492</v>
      </c>
      <c r="G68" s="99" t="s">
        <v>2491</v>
      </c>
      <c r="H68" s="92" t="s">
        <v>2466</v>
      </c>
      <c r="I68" s="91" t="s">
        <v>2235</v>
      </c>
      <c r="J68" s="91" t="s">
        <v>2260</v>
      </c>
      <c r="K68" s="102">
        <v>15</v>
      </c>
      <c r="L68" s="69">
        <v>26</v>
      </c>
      <c r="M68" s="46">
        <v>26</v>
      </c>
      <c r="N68" s="69">
        <v>25</v>
      </c>
      <c r="O68" s="69">
        <v>26</v>
      </c>
      <c r="P68" s="69">
        <v>23</v>
      </c>
      <c r="Q68" s="69"/>
      <c r="R68" s="69">
        <v>20</v>
      </c>
      <c r="S68" s="69"/>
      <c r="T68" s="69">
        <v>15</v>
      </c>
      <c r="U68" s="69"/>
      <c r="V68" s="121">
        <f>+O68</f>
        <v>26</v>
      </c>
      <c r="W68" s="118">
        <v>0</v>
      </c>
      <c r="X68" s="165">
        <v>26</v>
      </c>
      <c r="Y68" s="166"/>
      <c r="Z68" s="167"/>
      <c r="AA68" s="172">
        <v>26</v>
      </c>
      <c r="AB68" s="173"/>
      <c r="AC68" s="174"/>
      <c r="AD68" s="169">
        <v>0</v>
      </c>
      <c r="AE68" s="170"/>
      <c r="AF68" s="171"/>
      <c r="AG68" s="172">
        <v>0</v>
      </c>
      <c r="AH68" s="173"/>
      <c r="AI68" s="174"/>
      <c r="AJ68" s="119">
        <f>+AA68</f>
        <v>26</v>
      </c>
      <c r="AK68" s="120">
        <f>AG68/L68</f>
        <v>0</v>
      </c>
      <c r="AL68" s="184" t="s">
        <v>2501</v>
      </c>
      <c r="AM68" s="184" t="s">
        <v>2486</v>
      </c>
      <c r="AN68" s="184" t="s">
        <v>2597</v>
      </c>
      <c r="AO68" s="186">
        <v>2850</v>
      </c>
      <c r="AP68" s="186">
        <v>2850</v>
      </c>
      <c r="AQ68" s="296">
        <v>8744</v>
      </c>
      <c r="AR68" s="296">
        <v>1940</v>
      </c>
    </row>
    <row r="69" spans="1:49" s="110" customFormat="1" ht="53.25" customHeight="1" x14ac:dyDescent="0.2">
      <c r="A69" s="50"/>
      <c r="B69" s="243"/>
      <c r="C69" s="94"/>
      <c r="D69" s="92" t="s">
        <v>2434</v>
      </c>
      <c r="E69" s="91" t="s">
        <v>2400</v>
      </c>
      <c r="F69" s="92" t="s">
        <v>2465</v>
      </c>
      <c r="G69" s="99" t="s">
        <v>2491</v>
      </c>
      <c r="H69" s="92" t="s">
        <v>2467</v>
      </c>
      <c r="I69" s="91" t="s">
        <v>2235</v>
      </c>
      <c r="J69" s="42" t="s">
        <v>2260</v>
      </c>
      <c r="K69" s="102">
        <v>15</v>
      </c>
      <c r="L69" s="69">
        <v>24</v>
      </c>
      <c r="M69" s="46">
        <v>24</v>
      </c>
      <c r="N69" s="69">
        <v>23.5</v>
      </c>
      <c r="O69" s="69">
        <v>24</v>
      </c>
      <c r="P69" s="69">
        <v>23</v>
      </c>
      <c r="Q69" s="69"/>
      <c r="R69" s="69">
        <v>20</v>
      </c>
      <c r="S69" s="164"/>
      <c r="T69" s="69">
        <v>15</v>
      </c>
      <c r="U69" s="69"/>
      <c r="V69" s="121">
        <v>0</v>
      </c>
      <c r="W69" s="118">
        <v>0</v>
      </c>
      <c r="X69" s="165">
        <v>24</v>
      </c>
      <c r="Y69" s="166"/>
      <c r="Z69" s="167"/>
      <c r="AA69" s="172">
        <v>24</v>
      </c>
      <c r="AB69" s="173"/>
      <c r="AC69" s="174"/>
      <c r="AD69" s="169">
        <v>0</v>
      </c>
      <c r="AE69" s="170"/>
      <c r="AF69" s="171"/>
      <c r="AG69" s="172">
        <v>0</v>
      </c>
      <c r="AH69" s="173"/>
      <c r="AI69" s="174"/>
      <c r="AJ69" s="119">
        <f>+AA69</f>
        <v>24</v>
      </c>
      <c r="AK69" s="120">
        <f>AG69/L69</f>
        <v>0</v>
      </c>
      <c r="AL69" s="185"/>
      <c r="AM69" s="185"/>
      <c r="AN69" s="185"/>
      <c r="AO69" s="187"/>
      <c r="AP69" s="187"/>
      <c r="AQ69" s="296"/>
      <c r="AR69" s="296"/>
    </row>
    <row r="70" spans="1:49" s="110" customFormat="1" ht="64.5" customHeight="1" x14ac:dyDescent="0.2">
      <c r="A70" s="50"/>
      <c r="B70" s="243"/>
      <c r="C70" s="94" t="s">
        <v>2398</v>
      </c>
      <c r="D70" s="92" t="s">
        <v>2435</v>
      </c>
      <c r="E70" s="92" t="s">
        <v>2405</v>
      </c>
      <c r="F70" s="92" t="s">
        <v>2404</v>
      </c>
      <c r="G70" s="92" t="s">
        <v>2408</v>
      </c>
      <c r="H70" s="92" t="s">
        <v>2406</v>
      </c>
      <c r="I70" s="91" t="s">
        <v>2235</v>
      </c>
      <c r="J70" s="42" t="s">
        <v>2259</v>
      </c>
      <c r="K70" s="68">
        <v>1320551</v>
      </c>
      <c r="L70" s="69">
        <v>880367</v>
      </c>
      <c r="M70" s="116">
        <v>880367</v>
      </c>
      <c r="N70" s="69">
        <v>889171</v>
      </c>
      <c r="O70" s="69">
        <v>675000</v>
      </c>
      <c r="P70" s="69">
        <v>994815</v>
      </c>
      <c r="Q70" s="69"/>
      <c r="R70" s="69">
        <v>1214907</v>
      </c>
      <c r="S70" s="50"/>
      <c r="T70" s="69">
        <v>1320551</v>
      </c>
      <c r="U70" s="69"/>
      <c r="V70" s="117">
        <f>+O70</f>
        <v>675000</v>
      </c>
      <c r="W70" s="118">
        <f>+V70/K70</f>
        <v>0.51115026984947953</v>
      </c>
      <c r="X70" s="165">
        <v>665000</v>
      </c>
      <c r="Y70" s="166"/>
      <c r="Z70" s="167"/>
      <c r="AA70" s="172">
        <v>675000</v>
      </c>
      <c r="AB70" s="173"/>
      <c r="AC70" s="174"/>
      <c r="AD70" s="169">
        <v>0</v>
      </c>
      <c r="AE70" s="170"/>
      <c r="AF70" s="171"/>
      <c r="AG70" s="172">
        <v>0</v>
      </c>
      <c r="AH70" s="173"/>
      <c r="AI70" s="174"/>
      <c r="AJ70" s="119">
        <f>+AA70</f>
        <v>675000</v>
      </c>
      <c r="AK70" s="120">
        <f>+AJ70/N70</f>
        <v>0.75913406982458942</v>
      </c>
      <c r="AL70" s="49" t="s">
        <v>2499</v>
      </c>
      <c r="AM70" s="49" t="s">
        <v>2500</v>
      </c>
      <c r="AN70" s="49" t="s">
        <v>2595</v>
      </c>
      <c r="AO70" s="75">
        <v>418</v>
      </c>
      <c r="AP70" s="75">
        <v>418</v>
      </c>
      <c r="AQ70" s="82">
        <v>3689</v>
      </c>
      <c r="AR70" s="82">
        <v>2050</v>
      </c>
    </row>
    <row r="71" spans="1:49" s="110" customFormat="1" ht="74.25" customHeight="1" x14ac:dyDescent="0.2">
      <c r="A71" s="50"/>
      <c r="B71" s="243"/>
      <c r="C71" s="232" t="s">
        <v>2444</v>
      </c>
      <c r="D71" s="232" t="s">
        <v>2435</v>
      </c>
      <c r="E71" s="193" t="s">
        <v>2405</v>
      </c>
      <c r="F71" s="99" t="s">
        <v>2407</v>
      </c>
      <c r="G71" s="99" t="s">
        <v>2469</v>
      </c>
      <c r="H71" s="92" t="s">
        <v>2409</v>
      </c>
      <c r="I71" s="91" t="s">
        <v>2235</v>
      </c>
      <c r="J71" s="42" t="s">
        <v>2259</v>
      </c>
      <c r="K71" s="102">
        <v>6500</v>
      </c>
      <c r="L71" s="69">
        <v>2400</v>
      </c>
      <c r="M71" s="46">
        <v>3586</v>
      </c>
      <c r="N71" s="69">
        <v>4000</v>
      </c>
      <c r="O71" s="69">
        <v>4196</v>
      </c>
      <c r="P71" s="69">
        <v>4500</v>
      </c>
      <c r="Q71" s="69"/>
      <c r="R71" s="69">
        <v>5900</v>
      </c>
      <c r="S71" s="69"/>
      <c r="T71" s="69">
        <v>6500</v>
      </c>
      <c r="U71" s="69"/>
      <c r="V71" s="69">
        <f>+O71</f>
        <v>4196</v>
      </c>
      <c r="W71" s="118">
        <f>+(O71-2112)/(6500-2112)</f>
        <v>0.47493163172288061</v>
      </c>
      <c r="X71" s="165">
        <v>4100</v>
      </c>
      <c r="Y71" s="166"/>
      <c r="Z71" s="167"/>
      <c r="AA71" s="172">
        <v>4196</v>
      </c>
      <c r="AB71" s="173"/>
      <c r="AC71" s="174"/>
      <c r="AD71" s="169">
        <v>0</v>
      </c>
      <c r="AE71" s="170"/>
      <c r="AF71" s="171"/>
      <c r="AG71" s="172">
        <v>0</v>
      </c>
      <c r="AH71" s="173"/>
      <c r="AI71" s="174"/>
      <c r="AJ71" s="70">
        <f>+AA71</f>
        <v>4196</v>
      </c>
      <c r="AK71" s="120">
        <f>+(AJ71-3586)/(N71-3586)</f>
        <v>1.4734299516908214</v>
      </c>
      <c r="AL71" s="184" t="s">
        <v>2498</v>
      </c>
      <c r="AM71" s="184" t="s">
        <v>2487</v>
      </c>
      <c r="AN71" s="184" t="s">
        <v>2593</v>
      </c>
      <c r="AO71" s="186">
        <v>45</v>
      </c>
      <c r="AP71" s="186">
        <v>45</v>
      </c>
      <c r="AQ71" s="296">
        <v>238</v>
      </c>
      <c r="AR71" s="296">
        <v>196</v>
      </c>
    </row>
    <row r="72" spans="1:49" s="110" customFormat="1" ht="99" customHeight="1" x14ac:dyDescent="0.2">
      <c r="A72" s="50"/>
      <c r="B72" s="243"/>
      <c r="C72" s="233"/>
      <c r="D72" s="233"/>
      <c r="E72" s="194"/>
      <c r="F72" s="101" t="s">
        <v>2493</v>
      </c>
      <c r="G72" s="99" t="s">
        <v>2469</v>
      </c>
      <c r="H72" s="92" t="s">
        <v>2488</v>
      </c>
      <c r="I72" s="91" t="s">
        <v>2235</v>
      </c>
      <c r="J72" s="42" t="s">
        <v>2261</v>
      </c>
      <c r="K72" s="102">
        <v>20</v>
      </c>
      <c r="L72" s="69">
        <v>0</v>
      </c>
      <c r="M72" s="46">
        <v>0</v>
      </c>
      <c r="N72" s="69">
        <v>0</v>
      </c>
      <c r="O72" s="69">
        <v>0</v>
      </c>
      <c r="P72" s="69">
        <v>0</v>
      </c>
      <c r="Q72" s="69"/>
      <c r="R72" s="69">
        <v>0</v>
      </c>
      <c r="S72" s="69"/>
      <c r="T72" s="69">
        <v>20</v>
      </c>
      <c r="U72" s="69"/>
      <c r="V72" s="69">
        <v>0</v>
      </c>
      <c r="W72" s="118">
        <v>0</v>
      </c>
      <c r="X72" s="165">
        <v>0</v>
      </c>
      <c r="Y72" s="166"/>
      <c r="Z72" s="167"/>
      <c r="AA72" s="172">
        <v>0</v>
      </c>
      <c r="AB72" s="173"/>
      <c r="AC72" s="174"/>
      <c r="AD72" s="169">
        <v>0</v>
      </c>
      <c r="AE72" s="170"/>
      <c r="AF72" s="171"/>
      <c r="AG72" s="172">
        <v>0</v>
      </c>
      <c r="AH72" s="173"/>
      <c r="AI72" s="174"/>
      <c r="AJ72" s="70">
        <f t="shared" ref="AJ72" si="15">+X72</f>
        <v>0</v>
      </c>
      <c r="AK72" s="120" t="e">
        <f>+AJ72/N72</f>
        <v>#DIV/0!</v>
      </c>
      <c r="AL72" s="185"/>
      <c r="AM72" s="185"/>
      <c r="AN72" s="185"/>
      <c r="AO72" s="187"/>
      <c r="AP72" s="187"/>
      <c r="AQ72" s="296"/>
      <c r="AR72" s="296"/>
    </row>
    <row r="73" spans="1:49" s="110" customFormat="1" ht="126" customHeight="1" x14ac:dyDescent="0.2">
      <c r="A73" s="50"/>
      <c r="B73" s="243"/>
      <c r="C73" s="94" t="s">
        <v>2398</v>
      </c>
      <c r="D73" s="92" t="s">
        <v>2435</v>
      </c>
      <c r="E73" s="92" t="s">
        <v>2405</v>
      </c>
      <c r="F73" s="92" t="s">
        <v>2410</v>
      </c>
      <c r="G73" s="92" t="s">
        <v>2411</v>
      </c>
      <c r="H73" s="92" t="s">
        <v>2412</v>
      </c>
      <c r="I73" s="91" t="s">
        <v>2235</v>
      </c>
      <c r="J73" s="42" t="s">
        <v>2261</v>
      </c>
      <c r="K73" s="102">
        <v>100</v>
      </c>
      <c r="L73" s="69">
        <v>5</v>
      </c>
      <c r="M73" s="46">
        <v>5</v>
      </c>
      <c r="N73" s="69">
        <v>30</v>
      </c>
      <c r="O73" s="69">
        <v>16.2</v>
      </c>
      <c r="P73" s="69">
        <v>30</v>
      </c>
      <c r="Q73" s="69"/>
      <c r="R73" s="69">
        <v>30</v>
      </c>
      <c r="S73" s="69"/>
      <c r="T73" s="69">
        <v>5</v>
      </c>
      <c r="U73" s="69">
        <v>0</v>
      </c>
      <c r="V73" s="121">
        <f>+O73+M73</f>
        <v>21.2</v>
      </c>
      <c r="W73" s="48">
        <f>+V73/K73</f>
        <v>0.21199999999999999</v>
      </c>
      <c r="X73" s="165">
        <v>10.65</v>
      </c>
      <c r="Y73" s="166"/>
      <c r="Z73" s="167"/>
      <c r="AA73" s="172">
        <v>16.2</v>
      </c>
      <c r="AB73" s="173"/>
      <c r="AC73" s="174"/>
      <c r="AD73" s="169">
        <v>0</v>
      </c>
      <c r="AE73" s="170"/>
      <c r="AF73" s="171"/>
      <c r="AG73" s="172">
        <v>0</v>
      </c>
      <c r="AH73" s="173"/>
      <c r="AI73" s="174"/>
      <c r="AJ73" s="119">
        <f>+AA73</f>
        <v>16.2</v>
      </c>
      <c r="AK73" s="120">
        <f>+AJ73/N73</f>
        <v>0.53999999999999992</v>
      </c>
      <c r="AL73" s="49" t="s">
        <v>2496</v>
      </c>
      <c r="AM73" s="49" t="s">
        <v>2497</v>
      </c>
      <c r="AN73" s="49" t="s">
        <v>2594</v>
      </c>
      <c r="AO73" s="75">
        <v>68</v>
      </c>
      <c r="AP73" s="75">
        <v>68</v>
      </c>
      <c r="AQ73" s="82">
        <v>492</v>
      </c>
      <c r="AR73" s="82">
        <v>224</v>
      </c>
    </row>
    <row r="74" spans="1:49" s="110" customFormat="1" ht="108" customHeight="1" x14ac:dyDescent="0.2">
      <c r="A74" s="50"/>
      <c r="B74" s="245"/>
      <c r="C74" s="74" t="s">
        <v>2445</v>
      </c>
      <c r="D74" s="73" t="s">
        <v>2435</v>
      </c>
      <c r="E74" s="73" t="s">
        <v>2405</v>
      </c>
      <c r="F74" s="92" t="s">
        <v>2413</v>
      </c>
      <c r="G74" s="99" t="s">
        <v>2414</v>
      </c>
      <c r="H74" s="92" t="s">
        <v>2542</v>
      </c>
      <c r="I74" s="91" t="s">
        <v>2446</v>
      </c>
      <c r="J74" s="42" t="s">
        <v>2260</v>
      </c>
      <c r="K74" s="102">
        <v>33.9</v>
      </c>
      <c r="L74" s="69">
        <v>0</v>
      </c>
      <c r="M74" s="46">
        <v>0</v>
      </c>
      <c r="N74" s="69">
        <v>37.799999999999997</v>
      </c>
      <c r="O74" s="69">
        <v>34.4</v>
      </c>
      <c r="P74" s="69">
        <v>36.9</v>
      </c>
      <c r="Q74" s="69"/>
      <c r="R74" s="69">
        <v>34.700000000000003</v>
      </c>
      <c r="S74" s="69"/>
      <c r="T74" s="69">
        <v>33.9</v>
      </c>
      <c r="U74" s="69"/>
      <c r="V74" s="123">
        <f>O74</f>
        <v>34.4</v>
      </c>
      <c r="W74" s="118">
        <f>(38.3-O74)/(38.3-T74)</f>
        <v>0.88636363636363635</v>
      </c>
      <c r="X74" s="165">
        <v>0</v>
      </c>
      <c r="Y74" s="166"/>
      <c r="Z74" s="167"/>
      <c r="AA74" s="172">
        <v>34.4</v>
      </c>
      <c r="AB74" s="173"/>
      <c r="AC74" s="174"/>
      <c r="AD74" s="169">
        <v>0</v>
      </c>
      <c r="AE74" s="170"/>
      <c r="AF74" s="171"/>
      <c r="AG74" s="172">
        <v>0</v>
      </c>
      <c r="AH74" s="173"/>
      <c r="AI74" s="174"/>
      <c r="AJ74" s="70">
        <f t="shared" ref="AJ74:AJ75" si="16">AD74+AG74</f>
        <v>0</v>
      </c>
      <c r="AK74" s="48">
        <v>0</v>
      </c>
      <c r="AL74" s="49" t="s">
        <v>2543</v>
      </c>
      <c r="AM74" s="49" t="s">
        <v>2489</v>
      </c>
      <c r="AN74" s="184" t="s">
        <v>2544</v>
      </c>
      <c r="AO74" s="179">
        <v>127</v>
      </c>
      <c r="AP74" s="179">
        <v>127</v>
      </c>
      <c r="AQ74" s="295">
        <v>1101</v>
      </c>
      <c r="AR74" s="295">
        <v>834</v>
      </c>
    </row>
    <row r="75" spans="1:49" s="110" customFormat="1" ht="106.5" customHeight="1" x14ac:dyDescent="0.2">
      <c r="A75" s="50"/>
      <c r="B75" s="243"/>
      <c r="C75" s="94" t="s">
        <v>2445</v>
      </c>
      <c r="D75" s="92" t="s">
        <v>2435</v>
      </c>
      <c r="E75" s="92" t="s">
        <v>2405</v>
      </c>
      <c r="F75" s="92" t="s">
        <v>2413</v>
      </c>
      <c r="G75" s="99" t="s">
        <v>2414</v>
      </c>
      <c r="H75" s="92" t="s">
        <v>2545</v>
      </c>
      <c r="I75" s="91" t="s">
        <v>2446</v>
      </c>
      <c r="J75" s="42" t="s">
        <v>2260</v>
      </c>
      <c r="K75" s="68">
        <v>17.3</v>
      </c>
      <c r="L75" s="69">
        <v>0</v>
      </c>
      <c r="M75" s="46">
        <v>0</v>
      </c>
      <c r="N75" s="69">
        <v>19.5</v>
      </c>
      <c r="O75" s="69">
        <v>17.3</v>
      </c>
      <c r="P75" s="69">
        <v>19</v>
      </c>
      <c r="Q75" s="69"/>
      <c r="R75" s="69">
        <v>17.8</v>
      </c>
      <c r="S75" s="69"/>
      <c r="T75" s="69">
        <v>17.3</v>
      </c>
      <c r="U75" s="69"/>
      <c r="V75" s="123">
        <f>O75</f>
        <v>17.3</v>
      </c>
      <c r="W75" s="48">
        <f>(19.7-O75)/(19.7-T75)</f>
        <v>1</v>
      </c>
      <c r="X75" s="165">
        <v>0</v>
      </c>
      <c r="Y75" s="166"/>
      <c r="Z75" s="167"/>
      <c r="AA75" s="172">
        <v>0</v>
      </c>
      <c r="AB75" s="173"/>
      <c r="AC75" s="174"/>
      <c r="AD75" s="169">
        <v>0</v>
      </c>
      <c r="AE75" s="170"/>
      <c r="AF75" s="171"/>
      <c r="AG75" s="172">
        <v>0</v>
      </c>
      <c r="AH75" s="173"/>
      <c r="AI75" s="174"/>
      <c r="AJ75" s="70">
        <f t="shared" si="16"/>
        <v>0</v>
      </c>
      <c r="AK75" s="48">
        <v>0</v>
      </c>
      <c r="AL75" s="49" t="s">
        <v>2546</v>
      </c>
      <c r="AM75" s="49" t="s">
        <v>2489</v>
      </c>
      <c r="AN75" s="185"/>
      <c r="AO75" s="180"/>
      <c r="AP75" s="180"/>
      <c r="AQ75" s="295"/>
      <c r="AR75" s="295"/>
    </row>
    <row r="76" spans="1:49" ht="90.75" customHeight="1" x14ac:dyDescent="0.2">
      <c r="B76" s="9"/>
      <c r="C76" s="66" t="s">
        <v>2398</v>
      </c>
      <c r="D76" s="65" t="s">
        <v>2435</v>
      </c>
      <c r="E76" s="65" t="s">
        <v>2405</v>
      </c>
      <c r="F76" s="52" t="s">
        <v>2415</v>
      </c>
      <c r="G76" s="92" t="s">
        <v>2578</v>
      </c>
      <c r="H76" s="65" t="s">
        <v>2490</v>
      </c>
      <c r="I76" s="64" t="s">
        <v>2235</v>
      </c>
      <c r="J76" s="42" t="s">
        <v>2261</v>
      </c>
      <c r="K76" s="68">
        <f>+L76+N76+P76+R76+T76</f>
        <v>100</v>
      </c>
      <c r="L76" s="69">
        <v>0</v>
      </c>
      <c r="M76" s="46">
        <v>0</v>
      </c>
      <c r="N76" s="69">
        <v>35</v>
      </c>
      <c r="O76" s="69">
        <v>0</v>
      </c>
      <c r="P76" s="69">
        <v>35</v>
      </c>
      <c r="Q76" s="69"/>
      <c r="R76" s="69">
        <v>25</v>
      </c>
      <c r="S76" s="69"/>
      <c r="T76" s="69">
        <v>5</v>
      </c>
      <c r="U76" s="69"/>
      <c r="V76" s="47">
        <v>0</v>
      </c>
      <c r="W76" s="48">
        <v>0</v>
      </c>
      <c r="X76" s="165">
        <v>0</v>
      </c>
      <c r="Y76" s="166"/>
      <c r="Z76" s="167"/>
      <c r="AA76" s="172">
        <v>0</v>
      </c>
      <c r="AB76" s="173"/>
      <c r="AC76" s="174"/>
      <c r="AD76" s="169">
        <v>0</v>
      </c>
      <c r="AE76" s="170"/>
      <c r="AF76" s="171"/>
      <c r="AG76" s="172">
        <v>0</v>
      </c>
      <c r="AH76" s="173"/>
      <c r="AI76" s="174"/>
      <c r="AJ76" s="70">
        <f t="shared" ref="AJ76" si="17">AD76+AG76</f>
        <v>0</v>
      </c>
      <c r="AK76" s="48">
        <v>0</v>
      </c>
      <c r="AL76" s="49" t="s">
        <v>2494</v>
      </c>
      <c r="AM76" s="49" t="s">
        <v>2495</v>
      </c>
      <c r="AN76" s="49"/>
      <c r="AO76" s="51">
        <v>0</v>
      </c>
      <c r="AP76" s="51">
        <v>0</v>
      </c>
      <c r="AQ76" s="82">
        <v>144</v>
      </c>
      <c r="AR76" s="82">
        <v>0</v>
      </c>
    </row>
    <row r="77" spans="1:49" ht="64.5" customHeight="1" x14ac:dyDescent="0.2">
      <c r="C77" s="44" t="s">
        <v>2275</v>
      </c>
      <c r="D77" s="31"/>
      <c r="E77" s="215" t="s">
        <v>2276</v>
      </c>
      <c r="F77" s="216"/>
      <c r="G77" s="216"/>
      <c r="H77" s="217"/>
      <c r="I77" s="254" t="s">
        <v>2277</v>
      </c>
      <c r="J77" s="254"/>
      <c r="K77" s="254"/>
      <c r="L77" s="188">
        <v>2020</v>
      </c>
      <c r="M77" s="188"/>
      <c r="N77" s="188">
        <v>2021</v>
      </c>
      <c r="O77" s="188"/>
      <c r="P77" s="188">
        <v>2022</v>
      </c>
      <c r="Q77" s="188"/>
      <c r="R77" s="188">
        <v>2023</v>
      </c>
      <c r="S77" s="188"/>
      <c r="T77" s="188">
        <v>2024</v>
      </c>
      <c r="U77" s="188"/>
      <c r="V77" s="25" t="s">
        <v>2240</v>
      </c>
      <c r="W77" s="37"/>
      <c r="X77" s="11"/>
      <c r="Y77" s="11"/>
      <c r="Z77" s="11"/>
      <c r="AA77" s="11"/>
      <c r="AB77" s="11"/>
      <c r="AC77" s="11"/>
      <c r="AD77" s="27"/>
      <c r="AE77" s="27"/>
      <c r="AF77" s="27"/>
      <c r="AG77" s="11"/>
      <c r="AH77" s="11"/>
      <c r="AI77" s="11"/>
      <c r="AJ77" s="15"/>
      <c r="AK77" s="10"/>
      <c r="AM77" s="12"/>
      <c r="AN77" s="41"/>
      <c r="AO77" s="34"/>
      <c r="AP77" s="34"/>
    </row>
    <row r="78" spans="1:49" ht="35.25" customHeight="1" x14ac:dyDescent="0.2">
      <c r="C78" s="45" t="s">
        <v>2278</v>
      </c>
      <c r="D78" s="40"/>
      <c r="E78" s="218" t="s">
        <v>2279</v>
      </c>
      <c r="F78" s="219"/>
      <c r="G78" s="219"/>
      <c r="H78" s="220"/>
      <c r="I78" s="225" t="s">
        <v>2236</v>
      </c>
      <c r="J78" s="225"/>
      <c r="K78" s="225"/>
      <c r="L78" s="226">
        <v>1.32</v>
      </c>
      <c r="M78" s="226"/>
      <c r="N78" s="224">
        <v>0</v>
      </c>
      <c r="O78" s="224"/>
      <c r="P78" s="189">
        <v>0</v>
      </c>
      <c r="Q78" s="189"/>
      <c r="R78" s="189"/>
      <c r="S78" s="189"/>
      <c r="T78" s="189">
        <v>0</v>
      </c>
      <c r="U78" s="189"/>
      <c r="V78" s="26">
        <f>AVERAGE(L78)</f>
        <v>1.32</v>
      </c>
      <c r="W78" s="38"/>
      <c r="X78" s="13"/>
      <c r="Y78" s="13"/>
      <c r="Z78" s="13"/>
      <c r="AA78" s="13"/>
      <c r="AB78" s="13"/>
      <c r="AC78" s="13"/>
      <c r="AD78" s="13"/>
      <c r="AE78" s="13"/>
      <c r="AF78" s="13"/>
      <c r="AG78" s="13"/>
      <c r="AH78" s="13"/>
      <c r="AI78" s="13"/>
      <c r="AJ78" s="16"/>
      <c r="AK78" s="14"/>
      <c r="AL78" s="19"/>
      <c r="AM78" s="13"/>
      <c r="AN78" s="19"/>
      <c r="AO78" s="35"/>
      <c r="AP78" s="35"/>
    </row>
    <row r="79" spans="1:49" ht="35.25" customHeight="1" x14ac:dyDescent="0.2">
      <c r="C79" s="45" t="s">
        <v>2280</v>
      </c>
      <c r="D79" s="40"/>
      <c r="E79" s="211" t="s">
        <v>2281</v>
      </c>
      <c r="F79" s="212"/>
      <c r="G79" s="212"/>
      <c r="H79" s="213"/>
      <c r="I79" s="225" t="s">
        <v>2236</v>
      </c>
      <c r="J79" s="225"/>
      <c r="K79" s="225"/>
      <c r="L79" s="226">
        <v>15.2</v>
      </c>
      <c r="M79" s="226"/>
      <c r="N79" s="224">
        <v>0</v>
      </c>
      <c r="O79" s="224"/>
      <c r="P79" s="189">
        <v>0</v>
      </c>
      <c r="Q79" s="189"/>
      <c r="R79" s="189"/>
      <c r="S79" s="189"/>
      <c r="T79" s="189">
        <v>0</v>
      </c>
      <c r="U79" s="189"/>
      <c r="V79" s="71">
        <f t="shared" ref="V79:V90" si="18">AVERAGE(L79)</f>
        <v>15.2</v>
      </c>
      <c r="W79" s="38"/>
      <c r="X79" s="13"/>
      <c r="Y79" s="13"/>
      <c r="Z79" s="13"/>
      <c r="AA79" s="13"/>
      <c r="AB79" s="13"/>
      <c r="AC79" s="13"/>
      <c r="AD79" s="13"/>
      <c r="AE79" s="13"/>
      <c r="AF79" s="13"/>
      <c r="AG79" s="13"/>
      <c r="AH79" s="13"/>
      <c r="AI79" s="13"/>
      <c r="AJ79" s="16"/>
      <c r="AK79" s="14"/>
      <c r="AL79" s="19"/>
      <c r="AM79" s="13"/>
      <c r="AN79" s="19"/>
      <c r="AO79" s="35"/>
      <c r="AP79" s="35"/>
    </row>
    <row r="80" spans="1:49" ht="35.25" customHeight="1" x14ac:dyDescent="0.2">
      <c r="C80" s="45" t="s">
        <v>2282</v>
      </c>
      <c r="D80" s="40"/>
      <c r="E80" s="211" t="s">
        <v>2283</v>
      </c>
      <c r="F80" s="212"/>
      <c r="G80" s="212"/>
      <c r="H80" s="213"/>
      <c r="I80" s="225" t="s">
        <v>2235</v>
      </c>
      <c r="J80" s="225"/>
      <c r="K80" s="225"/>
      <c r="L80" s="228">
        <v>0.63200000000000001</v>
      </c>
      <c r="M80" s="228"/>
      <c r="N80" s="224">
        <v>0</v>
      </c>
      <c r="O80" s="224"/>
      <c r="P80" s="189">
        <v>0</v>
      </c>
      <c r="Q80" s="189"/>
      <c r="R80" s="189"/>
      <c r="S80" s="189"/>
      <c r="T80" s="189">
        <v>0</v>
      </c>
      <c r="U80" s="189"/>
      <c r="V80" s="71">
        <f t="shared" si="18"/>
        <v>0.63200000000000001</v>
      </c>
      <c r="W80" s="38"/>
      <c r="X80" s="13"/>
      <c r="Y80" s="13"/>
      <c r="Z80" s="13"/>
      <c r="AA80" s="13"/>
      <c r="AB80" s="13"/>
      <c r="AC80" s="13"/>
      <c r="AD80" s="13"/>
      <c r="AE80" s="13"/>
      <c r="AF80" s="13"/>
      <c r="AG80" s="13"/>
      <c r="AH80" s="13"/>
      <c r="AI80" s="13"/>
      <c r="AJ80" s="16"/>
      <c r="AK80" s="14"/>
      <c r="AL80" s="19"/>
      <c r="AM80" s="13"/>
      <c r="AN80" s="19"/>
      <c r="AO80" s="35"/>
      <c r="AP80" s="35"/>
    </row>
    <row r="81" spans="1:44" s="16" customFormat="1" ht="35.25" customHeight="1" x14ac:dyDescent="0.2">
      <c r="A81" s="9"/>
      <c r="B81" s="9"/>
      <c r="C81" s="57" t="s">
        <v>2284</v>
      </c>
      <c r="D81" s="58"/>
      <c r="E81" s="221" t="s">
        <v>2285</v>
      </c>
      <c r="F81" s="222"/>
      <c r="G81" s="222"/>
      <c r="H81" s="223"/>
      <c r="I81" s="229" t="s">
        <v>2286</v>
      </c>
      <c r="J81" s="229"/>
      <c r="K81" s="229"/>
      <c r="L81" s="227">
        <v>0.41670000000000001</v>
      </c>
      <c r="M81" s="227"/>
      <c r="N81" s="224">
        <v>0</v>
      </c>
      <c r="O81" s="224"/>
      <c r="P81" s="189">
        <v>0</v>
      </c>
      <c r="Q81" s="189"/>
      <c r="R81" s="189"/>
      <c r="S81" s="189"/>
      <c r="T81" s="189">
        <v>0</v>
      </c>
      <c r="U81" s="189"/>
      <c r="V81" s="71">
        <f t="shared" si="18"/>
        <v>0.41670000000000001</v>
      </c>
      <c r="W81" s="53"/>
      <c r="AK81" s="54"/>
      <c r="AL81" s="55"/>
      <c r="AN81" s="55"/>
      <c r="AO81" s="56"/>
      <c r="AP81" s="56"/>
      <c r="AQ81" s="9"/>
      <c r="AR81" s="9"/>
    </row>
    <row r="82" spans="1:44" ht="35.25" customHeight="1" x14ac:dyDescent="0.2">
      <c r="C82" s="45" t="s">
        <v>2287</v>
      </c>
      <c r="D82" s="40"/>
      <c r="E82" s="211" t="s">
        <v>2288</v>
      </c>
      <c r="F82" s="212"/>
      <c r="G82" s="212"/>
      <c r="H82" s="213"/>
      <c r="I82" s="225" t="s">
        <v>2235</v>
      </c>
      <c r="J82" s="225"/>
      <c r="K82" s="225"/>
      <c r="L82" s="226">
        <v>293.2</v>
      </c>
      <c r="M82" s="226"/>
      <c r="N82" s="224">
        <v>0</v>
      </c>
      <c r="O82" s="224"/>
      <c r="P82" s="189">
        <v>0</v>
      </c>
      <c r="Q82" s="189"/>
      <c r="R82" s="189"/>
      <c r="S82" s="189"/>
      <c r="T82" s="189">
        <v>0</v>
      </c>
      <c r="U82" s="189"/>
      <c r="V82" s="71">
        <f t="shared" si="18"/>
        <v>293.2</v>
      </c>
      <c r="W82" s="60"/>
      <c r="X82" s="13"/>
      <c r="Y82" s="13"/>
      <c r="Z82" s="13"/>
      <c r="AA82" s="13"/>
      <c r="AB82" s="13"/>
      <c r="AC82" s="13"/>
      <c r="AD82" s="63"/>
      <c r="AE82" s="13"/>
      <c r="AF82" s="13"/>
      <c r="AG82" s="13"/>
      <c r="AH82" s="13"/>
      <c r="AI82" s="13"/>
      <c r="AJ82" s="16"/>
      <c r="AK82" s="14"/>
      <c r="AL82" s="19"/>
      <c r="AM82" s="13"/>
      <c r="AN82" s="19"/>
      <c r="AO82" s="35"/>
      <c r="AP82" s="35"/>
    </row>
    <row r="83" spans="1:44" ht="35.25" customHeight="1" x14ac:dyDescent="0.2">
      <c r="C83" s="45" t="s">
        <v>2289</v>
      </c>
      <c r="D83" s="40"/>
      <c r="E83" s="211" t="s">
        <v>2290</v>
      </c>
      <c r="F83" s="212"/>
      <c r="G83" s="212"/>
      <c r="H83" s="213"/>
      <c r="I83" s="225" t="s">
        <v>2235</v>
      </c>
      <c r="J83" s="225"/>
      <c r="K83" s="225"/>
      <c r="L83" s="226" t="s">
        <v>2313</v>
      </c>
      <c r="M83" s="226"/>
      <c r="N83" s="224">
        <v>0</v>
      </c>
      <c r="O83" s="224"/>
      <c r="P83" s="189">
        <v>0</v>
      </c>
      <c r="Q83" s="189"/>
      <c r="R83" s="189"/>
      <c r="S83" s="189"/>
      <c r="T83" s="189">
        <v>0</v>
      </c>
      <c r="U83" s="189"/>
      <c r="V83" s="72">
        <v>0</v>
      </c>
      <c r="W83" s="60"/>
      <c r="X83" s="13"/>
      <c r="Y83" s="13"/>
      <c r="Z83" s="13"/>
      <c r="AA83" s="13"/>
      <c r="AB83" s="13"/>
      <c r="AC83" s="13"/>
      <c r="AD83" s="62"/>
      <c r="AE83" s="13"/>
      <c r="AF83" s="13"/>
      <c r="AG83" s="13"/>
      <c r="AH83" s="13"/>
      <c r="AI83" s="13"/>
      <c r="AJ83" s="16"/>
      <c r="AK83" s="14"/>
      <c r="AL83" s="19"/>
      <c r="AM83" s="13"/>
      <c r="AN83" s="19"/>
      <c r="AO83" s="35"/>
      <c r="AP83" s="35"/>
    </row>
    <row r="84" spans="1:44" ht="35.25" customHeight="1" x14ac:dyDescent="0.2">
      <c r="C84" s="45" t="s">
        <v>2291</v>
      </c>
      <c r="D84" s="40"/>
      <c r="E84" s="211" t="s">
        <v>2292</v>
      </c>
      <c r="F84" s="212"/>
      <c r="G84" s="212"/>
      <c r="H84" s="213"/>
      <c r="I84" s="225" t="s">
        <v>2235</v>
      </c>
      <c r="J84" s="225"/>
      <c r="K84" s="225"/>
      <c r="L84" s="226">
        <v>24.6</v>
      </c>
      <c r="M84" s="226"/>
      <c r="N84" s="224">
        <v>0</v>
      </c>
      <c r="O84" s="224"/>
      <c r="P84" s="189">
        <v>0</v>
      </c>
      <c r="Q84" s="189"/>
      <c r="R84" s="189"/>
      <c r="S84" s="189"/>
      <c r="T84" s="189">
        <v>0</v>
      </c>
      <c r="U84" s="189"/>
      <c r="V84" s="71">
        <f t="shared" si="18"/>
        <v>24.6</v>
      </c>
      <c r="W84" s="38"/>
      <c r="X84" s="13"/>
      <c r="Y84" s="13"/>
      <c r="Z84" s="13"/>
      <c r="AA84" s="13"/>
      <c r="AB84" s="13"/>
      <c r="AC84" s="13"/>
      <c r="AD84" s="13"/>
      <c r="AE84" s="13"/>
      <c r="AF84" s="13"/>
      <c r="AG84" s="13"/>
      <c r="AH84" s="13"/>
      <c r="AI84" s="13"/>
      <c r="AJ84" s="16"/>
      <c r="AK84" s="14"/>
      <c r="AL84" s="19"/>
      <c r="AM84" s="13"/>
      <c r="AN84" s="19"/>
      <c r="AO84" s="35"/>
      <c r="AP84" s="35"/>
    </row>
    <row r="85" spans="1:44" ht="35.25" customHeight="1" x14ac:dyDescent="0.2">
      <c r="C85" s="45" t="s">
        <v>2293</v>
      </c>
      <c r="D85" s="40"/>
      <c r="E85" s="211" t="s">
        <v>2294</v>
      </c>
      <c r="F85" s="212"/>
      <c r="G85" s="212"/>
      <c r="H85" s="213"/>
      <c r="I85" s="225" t="s">
        <v>2235</v>
      </c>
      <c r="J85" s="225"/>
      <c r="K85" s="225"/>
      <c r="L85" s="226" t="s">
        <v>2313</v>
      </c>
      <c r="M85" s="226"/>
      <c r="N85" s="224">
        <v>0</v>
      </c>
      <c r="O85" s="224"/>
      <c r="P85" s="189">
        <v>0</v>
      </c>
      <c r="Q85" s="189"/>
      <c r="R85" s="189"/>
      <c r="S85" s="189"/>
      <c r="T85" s="189">
        <v>0</v>
      </c>
      <c r="U85" s="189"/>
      <c r="V85" s="72">
        <v>0</v>
      </c>
      <c r="W85" s="60"/>
      <c r="X85" s="13"/>
      <c r="Y85" s="13"/>
      <c r="Z85" s="13"/>
      <c r="AA85" s="13"/>
      <c r="AB85" s="13"/>
      <c r="AC85" s="13"/>
      <c r="AD85" s="62"/>
      <c r="AE85" s="13"/>
      <c r="AF85" s="13"/>
      <c r="AG85" s="13"/>
      <c r="AH85" s="13"/>
      <c r="AI85" s="13"/>
      <c r="AJ85" s="16"/>
      <c r="AK85" s="14"/>
      <c r="AL85" s="19"/>
      <c r="AM85" s="13"/>
      <c r="AN85" s="19"/>
      <c r="AO85" s="35"/>
      <c r="AP85" s="35"/>
    </row>
    <row r="86" spans="1:44" ht="35.25" customHeight="1" x14ac:dyDescent="0.2">
      <c r="C86" s="45" t="s">
        <v>2295</v>
      </c>
      <c r="D86" s="40"/>
      <c r="E86" s="211" t="s">
        <v>2296</v>
      </c>
      <c r="F86" s="212"/>
      <c r="G86" s="212"/>
      <c r="H86" s="213"/>
      <c r="I86" s="225" t="s">
        <v>2237</v>
      </c>
      <c r="J86" s="225"/>
      <c r="K86" s="225"/>
      <c r="L86" s="226" t="s">
        <v>2313</v>
      </c>
      <c r="M86" s="226"/>
      <c r="N86" s="224">
        <v>0</v>
      </c>
      <c r="O86" s="224"/>
      <c r="P86" s="189">
        <v>0</v>
      </c>
      <c r="Q86" s="189"/>
      <c r="R86" s="189"/>
      <c r="S86" s="189"/>
      <c r="T86" s="189">
        <v>0</v>
      </c>
      <c r="U86" s="189"/>
      <c r="V86" s="72">
        <v>0</v>
      </c>
      <c r="W86" s="38"/>
      <c r="X86" s="13"/>
      <c r="Y86" s="13"/>
      <c r="Z86" s="13"/>
      <c r="AA86" s="13"/>
      <c r="AB86" s="13"/>
      <c r="AC86" s="13"/>
      <c r="AD86" s="13"/>
      <c r="AE86" s="13"/>
      <c r="AF86" s="13"/>
      <c r="AG86" s="13"/>
      <c r="AH86" s="13"/>
      <c r="AI86" s="13"/>
      <c r="AJ86" s="16"/>
      <c r="AK86" s="14"/>
      <c r="AL86" s="19"/>
      <c r="AM86" s="13"/>
      <c r="AN86" s="19"/>
      <c r="AO86" s="35"/>
      <c r="AP86" s="35"/>
    </row>
    <row r="87" spans="1:44" ht="35.25" customHeight="1" x14ac:dyDescent="0.2">
      <c r="C87" s="45" t="s">
        <v>2297</v>
      </c>
      <c r="D87" s="40"/>
      <c r="E87" s="211" t="s">
        <v>2298</v>
      </c>
      <c r="F87" s="212"/>
      <c r="G87" s="212"/>
      <c r="H87" s="213"/>
      <c r="I87" s="225" t="s">
        <v>2235</v>
      </c>
      <c r="J87" s="225"/>
      <c r="K87" s="225"/>
      <c r="L87" s="226" t="s">
        <v>2313</v>
      </c>
      <c r="M87" s="226"/>
      <c r="N87" s="224">
        <v>0</v>
      </c>
      <c r="O87" s="224"/>
      <c r="P87" s="189">
        <v>0</v>
      </c>
      <c r="Q87" s="189"/>
      <c r="R87" s="189"/>
      <c r="S87" s="189"/>
      <c r="T87" s="189">
        <v>0</v>
      </c>
      <c r="U87" s="189"/>
      <c r="V87" s="72">
        <v>0</v>
      </c>
      <c r="W87" s="38"/>
      <c r="X87" s="13"/>
      <c r="Y87" s="13"/>
      <c r="Z87" s="13"/>
      <c r="AA87" s="13"/>
      <c r="AB87" s="13"/>
      <c r="AC87" s="13"/>
      <c r="AD87" s="13"/>
      <c r="AE87" s="13"/>
      <c r="AF87" s="13"/>
      <c r="AG87" s="13"/>
      <c r="AH87" s="13"/>
      <c r="AI87" s="13"/>
      <c r="AJ87" s="16"/>
      <c r="AK87" s="14"/>
      <c r="AL87" s="19"/>
      <c r="AM87" s="13"/>
      <c r="AN87" s="19"/>
      <c r="AO87" s="35"/>
      <c r="AP87" s="35"/>
    </row>
    <row r="88" spans="1:44" ht="35.25" customHeight="1" x14ac:dyDescent="0.2">
      <c r="C88" s="45" t="s">
        <v>2299</v>
      </c>
      <c r="D88" s="40"/>
      <c r="E88" s="211" t="s">
        <v>2300</v>
      </c>
      <c r="F88" s="212"/>
      <c r="G88" s="212"/>
      <c r="H88" s="213"/>
      <c r="I88" s="225" t="s">
        <v>2235</v>
      </c>
      <c r="J88" s="225"/>
      <c r="K88" s="225"/>
      <c r="L88" s="226" t="s">
        <v>2313</v>
      </c>
      <c r="M88" s="226"/>
      <c r="N88" s="224">
        <v>0</v>
      </c>
      <c r="O88" s="224"/>
      <c r="P88" s="189">
        <v>0</v>
      </c>
      <c r="Q88" s="189"/>
      <c r="R88" s="189"/>
      <c r="S88" s="189"/>
      <c r="T88" s="189">
        <v>0</v>
      </c>
      <c r="U88" s="189"/>
      <c r="V88" s="72">
        <v>0</v>
      </c>
      <c r="W88" s="61"/>
      <c r="X88" s="13"/>
      <c r="Y88" s="13"/>
      <c r="Z88" s="13"/>
      <c r="AA88" s="13"/>
      <c r="AB88" s="13"/>
      <c r="AC88" s="13"/>
      <c r="AD88" s="13"/>
      <c r="AE88" s="13"/>
      <c r="AF88" s="13"/>
      <c r="AG88" s="13"/>
      <c r="AH88" s="13"/>
      <c r="AI88" s="13"/>
      <c r="AJ88" s="16"/>
      <c r="AK88" s="14"/>
      <c r="AL88" s="19"/>
      <c r="AM88" s="13"/>
      <c r="AN88" s="19"/>
      <c r="AO88" s="35"/>
      <c r="AP88" s="35"/>
    </row>
    <row r="89" spans="1:44" ht="35.25" customHeight="1" x14ac:dyDescent="0.2">
      <c r="C89" s="45" t="s">
        <v>2301</v>
      </c>
      <c r="D89" s="40"/>
      <c r="E89" s="211" t="s">
        <v>2302</v>
      </c>
      <c r="F89" s="212"/>
      <c r="G89" s="212"/>
      <c r="H89" s="213"/>
      <c r="I89" s="225" t="s">
        <v>2303</v>
      </c>
      <c r="J89" s="225"/>
      <c r="K89" s="225"/>
      <c r="L89" s="226">
        <v>0.98</v>
      </c>
      <c r="M89" s="226"/>
      <c r="N89" s="224">
        <v>0</v>
      </c>
      <c r="O89" s="224"/>
      <c r="P89" s="189">
        <v>0</v>
      </c>
      <c r="Q89" s="189"/>
      <c r="R89" s="189"/>
      <c r="S89" s="189"/>
      <c r="T89" s="189">
        <v>0</v>
      </c>
      <c r="U89" s="189"/>
      <c r="V89" s="71">
        <f t="shared" si="18"/>
        <v>0.98</v>
      </c>
      <c r="W89" s="38"/>
      <c r="X89" s="13"/>
      <c r="Y89" s="13"/>
      <c r="Z89" s="13"/>
      <c r="AA89" s="13"/>
      <c r="AB89" s="13"/>
      <c r="AC89" s="13"/>
      <c r="AD89" s="13"/>
      <c r="AE89" s="13"/>
      <c r="AF89" s="13"/>
      <c r="AG89" s="13"/>
      <c r="AH89" s="13"/>
      <c r="AI89" s="13"/>
      <c r="AJ89" s="16"/>
      <c r="AK89" s="14"/>
      <c r="AL89" s="19"/>
      <c r="AM89" s="13"/>
      <c r="AN89" s="19"/>
      <c r="AO89" s="35"/>
      <c r="AP89" s="35"/>
    </row>
    <row r="90" spans="1:44" ht="35.25" customHeight="1" x14ac:dyDescent="0.2">
      <c r="C90" s="45" t="s">
        <v>2304</v>
      </c>
      <c r="D90" s="40"/>
      <c r="E90" s="211" t="s">
        <v>2305</v>
      </c>
      <c r="F90" s="212"/>
      <c r="G90" s="212"/>
      <c r="H90" s="213"/>
      <c r="I90" s="225" t="s">
        <v>2235</v>
      </c>
      <c r="J90" s="225"/>
      <c r="K90" s="225"/>
      <c r="L90" s="253">
        <v>1</v>
      </c>
      <c r="M90" s="253"/>
      <c r="N90" s="224">
        <v>0</v>
      </c>
      <c r="O90" s="224"/>
      <c r="P90" s="189">
        <v>0</v>
      </c>
      <c r="Q90" s="189"/>
      <c r="R90" s="189"/>
      <c r="S90" s="189"/>
      <c r="T90" s="189">
        <v>0</v>
      </c>
      <c r="U90" s="189"/>
      <c r="V90" s="71">
        <f t="shared" si="18"/>
        <v>1</v>
      </c>
      <c r="W90" s="38"/>
      <c r="X90" s="13"/>
      <c r="Y90" s="13"/>
      <c r="Z90" s="13"/>
      <c r="AA90" s="13"/>
      <c r="AB90" s="13"/>
      <c r="AC90" s="13"/>
      <c r="AD90" s="13"/>
      <c r="AE90" s="13"/>
      <c r="AF90" s="13"/>
      <c r="AG90" s="13"/>
      <c r="AH90" s="13"/>
      <c r="AI90" s="13"/>
      <c r="AJ90" s="16"/>
      <c r="AK90" s="14"/>
      <c r="AL90" s="19"/>
      <c r="AM90" s="13"/>
      <c r="AN90" s="19"/>
      <c r="AO90" s="35"/>
      <c r="AP90" s="35"/>
    </row>
    <row r="91" spans="1:44" ht="35.25" customHeight="1" x14ac:dyDescent="0.2">
      <c r="C91" s="45" t="s">
        <v>2306</v>
      </c>
      <c r="D91" s="40"/>
      <c r="E91" s="211" t="s">
        <v>2307</v>
      </c>
      <c r="F91" s="212"/>
      <c r="G91" s="212"/>
      <c r="H91" s="213"/>
      <c r="I91" s="225" t="s">
        <v>2308</v>
      </c>
      <c r="J91" s="225"/>
      <c r="K91" s="225"/>
      <c r="L91" s="226" t="s">
        <v>2313</v>
      </c>
      <c r="M91" s="226"/>
      <c r="N91" s="224">
        <v>0</v>
      </c>
      <c r="O91" s="224"/>
      <c r="P91" s="189">
        <v>0</v>
      </c>
      <c r="Q91" s="189"/>
      <c r="R91" s="189"/>
      <c r="S91" s="189"/>
      <c r="T91" s="189">
        <v>0</v>
      </c>
      <c r="U91" s="189"/>
      <c r="V91" s="72">
        <v>0</v>
      </c>
      <c r="W91" s="38"/>
      <c r="X91" s="13"/>
      <c r="Y91" s="13"/>
      <c r="Z91" s="13"/>
      <c r="AA91" s="13"/>
      <c r="AB91" s="13"/>
      <c r="AC91" s="13"/>
      <c r="AD91" s="13"/>
      <c r="AE91" s="13"/>
      <c r="AF91" s="13"/>
      <c r="AG91" s="13"/>
      <c r="AH91" s="13"/>
      <c r="AI91" s="13"/>
      <c r="AJ91" s="16"/>
      <c r="AK91" s="14"/>
      <c r="AL91" s="19"/>
      <c r="AM91" s="13"/>
      <c r="AN91" s="19"/>
      <c r="AO91" s="35"/>
      <c r="AP91" s="35"/>
    </row>
    <row r="92" spans="1:44" ht="15" customHeight="1" x14ac:dyDescent="0.2">
      <c r="V92" s="59"/>
    </row>
    <row r="96" spans="1:44" ht="15" customHeight="1" x14ac:dyDescent="0.2">
      <c r="AK96" s="122"/>
    </row>
    <row r="97" spans="37:37" ht="15" customHeight="1" x14ac:dyDescent="0.2">
      <c r="AK97" s="122"/>
    </row>
  </sheetData>
  <sheetProtection selectLockedCells="1"/>
  <autoFilter ref="B11:AV91"/>
  <mergeCells count="527">
    <mergeCell ref="AR74:AR75"/>
    <mergeCell ref="AN51:AN53"/>
    <mergeCell ref="AN66:AN67"/>
    <mergeCell ref="AR46:AR49"/>
    <mergeCell ref="AO54:AO55"/>
    <mergeCell ref="AP54:AP55"/>
    <mergeCell ref="AQ54:AQ55"/>
    <mergeCell ref="AR54:AR55"/>
    <mergeCell ref="AO68:AO69"/>
    <mergeCell ref="AP68:AP69"/>
    <mergeCell ref="AQ68:AQ69"/>
    <mergeCell ref="AR68:AR69"/>
    <mergeCell ref="X13:Z13"/>
    <mergeCell ref="AA13:AC13"/>
    <mergeCell ref="AD13:AF13"/>
    <mergeCell ref="AG13:AI13"/>
    <mergeCell ref="AO74:AO75"/>
    <mergeCell ref="AP74:AP75"/>
    <mergeCell ref="AO46:AO49"/>
    <mergeCell ref="AP46:AP49"/>
    <mergeCell ref="AQ46:AQ49"/>
    <mergeCell ref="X32:Z32"/>
    <mergeCell ref="AA32:AC32"/>
    <mergeCell ref="X33:Z33"/>
    <mergeCell ref="AA33:AC33"/>
    <mergeCell ref="AG14:AI14"/>
    <mergeCell ref="AD15:AF15"/>
    <mergeCell ref="AO9:AR10"/>
    <mergeCell ref="AQ16:AQ17"/>
    <mergeCell ref="AR16:AR17"/>
    <mergeCell ref="AN14:AN15"/>
    <mergeCell ref="AL14:AL15"/>
    <mergeCell ref="AM14:AM15"/>
    <mergeCell ref="X9:AN10"/>
    <mergeCell ref="AO16:AO17"/>
    <mergeCell ref="AP16:AP17"/>
    <mergeCell ref="AN16:AN17"/>
    <mergeCell ref="AM16:AM17"/>
    <mergeCell ref="AL16:AL17"/>
    <mergeCell ref="X12:Z12"/>
    <mergeCell ref="AA12:AC12"/>
    <mergeCell ref="X14:Z14"/>
    <mergeCell ref="AA14:AC14"/>
    <mergeCell ref="X15:Z15"/>
    <mergeCell ref="AA15:AC15"/>
    <mergeCell ref="AG21:AI21"/>
    <mergeCell ref="X18:Z18"/>
    <mergeCell ref="AD16:AF16"/>
    <mergeCell ref="AD22:AF22"/>
    <mergeCell ref="AG22:AI22"/>
    <mergeCell ref="AD20:AF20"/>
    <mergeCell ref="AG20:AI20"/>
    <mergeCell ref="AD21:AF21"/>
    <mergeCell ref="AA18:AC18"/>
    <mergeCell ref="X19:Z19"/>
    <mergeCell ref="C16:C17"/>
    <mergeCell ref="D16:D17"/>
    <mergeCell ref="AD17:AF17"/>
    <mergeCell ref="AG17:AI17"/>
    <mergeCell ref="AD18:AF18"/>
    <mergeCell ref="AG18:AI18"/>
    <mergeCell ref="AD19:AF19"/>
    <mergeCell ref="AG19:AI19"/>
    <mergeCell ref="X16:Z16"/>
    <mergeCell ref="AA16:AC16"/>
    <mergeCell ref="X17:Z17"/>
    <mergeCell ref="AA17:AC17"/>
    <mergeCell ref="AG16:AI16"/>
    <mergeCell ref="AG43:AI43"/>
    <mergeCell ref="AD12:AF12"/>
    <mergeCell ref="AG12:AI12"/>
    <mergeCell ref="AD14:AF14"/>
    <mergeCell ref="AG24:AI24"/>
    <mergeCell ref="AD42:AF42"/>
    <mergeCell ref="AG42:AI42"/>
    <mergeCell ref="AD25:AF25"/>
    <mergeCell ref="AG25:AI25"/>
    <mergeCell ref="AD28:AF28"/>
    <mergeCell ref="AG28:AI28"/>
    <mergeCell ref="AD29:AF29"/>
    <mergeCell ref="AG29:AI29"/>
    <mergeCell ref="AG39:AI39"/>
    <mergeCell ref="AG33:AI33"/>
    <mergeCell ref="AG37:AI37"/>
    <mergeCell ref="AD40:AF40"/>
    <mergeCell ref="AD41:AF41"/>
    <mergeCell ref="AG15:AI15"/>
    <mergeCell ref="AD34:AF34"/>
    <mergeCell ref="AG34:AI34"/>
    <mergeCell ref="AD35:AF35"/>
    <mergeCell ref="AG35:AI35"/>
    <mergeCell ref="AD26:AF26"/>
    <mergeCell ref="B2:F5"/>
    <mergeCell ref="B6:F6"/>
    <mergeCell ref="B7:F7"/>
    <mergeCell ref="B8:F8"/>
    <mergeCell ref="G2:AP2"/>
    <mergeCell ref="G3:AP3"/>
    <mergeCell ref="G4:AP4"/>
    <mergeCell ref="G5:AH5"/>
    <mergeCell ref="G6:AP6"/>
    <mergeCell ref="G7:AP7"/>
    <mergeCell ref="G8:AP8"/>
    <mergeCell ref="AI5:AP5"/>
    <mergeCell ref="AD51:AF51"/>
    <mergeCell ref="AD44:AF44"/>
    <mergeCell ref="AG44:AI44"/>
    <mergeCell ref="AD30:AF30"/>
    <mergeCell ref="AD43:AF43"/>
    <mergeCell ref="AD37:AF37"/>
    <mergeCell ref="H59:H60"/>
    <mergeCell ref="I77:K77"/>
    <mergeCell ref="AG36:AI36"/>
    <mergeCell ref="AD45:AF45"/>
    <mergeCell ref="AG45:AI45"/>
    <mergeCell ref="AG40:AI40"/>
    <mergeCell ref="AD46:AF46"/>
    <mergeCell ref="AG46:AI46"/>
    <mergeCell ref="AD54:AF54"/>
    <mergeCell ref="AG54:AI54"/>
    <mergeCell ref="AD57:AF57"/>
    <mergeCell ref="AG57:AI57"/>
    <mergeCell ref="AD59:AF59"/>
    <mergeCell ref="AG59:AI59"/>
    <mergeCell ref="AG30:AI30"/>
    <mergeCell ref="AG50:AI50"/>
    <mergeCell ref="AG69:AI69"/>
    <mergeCell ref="AA30:AC30"/>
    <mergeCell ref="I90:K90"/>
    <mergeCell ref="I91:K91"/>
    <mergeCell ref="I89:K89"/>
    <mergeCell ref="N89:O89"/>
    <mergeCell ref="E89:H89"/>
    <mergeCell ref="E90:H90"/>
    <mergeCell ref="L82:M82"/>
    <mergeCell ref="N82:O82"/>
    <mergeCell ref="I88:K88"/>
    <mergeCell ref="L83:M83"/>
    <mergeCell ref="N83:O83"/>
    <mergeCell ref="E86:H86"/>
    <mergeCell ref="E87:H87"/>
    <mergeCell ref="E88:H88"/>
    <mergeCell ref="I86:K86"/>
    <mergeCell ref="I87:K87"/>
    <mergeCell ref="L91:M91"/>
    <mergeCell ref="N91:O91"/>
    <mergeCell ref="I82:K82"/>
    <mergeCell ref="I83:K83"/>
    <mergeCell ref="I84:K84"/>
    <mergeCell ref="I85:K85"/>
    <mergeCell ref="L88:M88"/>
    <mergeCell ref="N88:O88"/>
    <mergeCell ref="L89:M89"/>
    <mergeCell ref="P89:Q89"/>
    <mergeCell ref="R89:S89"/>
    <mergeCell ref="T89:U89"/>
    <mergeCell ref="L90:M90"/>
    <mergeCell ref="N90:O90"/>
    <mergeCell ref="P90:Q90"/>
    <mergeCell ref="R90:S90"/>
    <mergeCell ref="T90:U90"/>
    <mergeCell ref="P91:Q91"/>
    <mergeCell ref="R91:S91"/>
    <mergeCell ref="T91:U91"/>
    <mergeCell ref="T84:U84"/>
    <mergeCell ref="P85:Q85"/>
    <mergeCell ref="R85:S85"/>
    <mergeCell ref="T85:U85"/>
    <mergeCell ref="P86:Q86"/>
    <mergeCell ref="R86:S86"/>
    <mergeCell ref="T86:U86"/>
    <mergeCell ref="P87:Q87"/>
    <mergeCell ref="R87:S87"/>
    <mergeCell ref="T87:U87"/>
    <mergeCell ref="R88:S88"/>
    <mergeCell ref="T88:U88"/>
    <mergeCell ref="F14:F15"/>
    <mergeCell ref="H14:H15"/>
    <mergeCell ref="R82:S82"/>
    <mergeCell ref="R81:S81"/>
    <mergeCell ref="T82:U82"/>
    <mergeCell ref="P83:Q83"/>
    <mergeCell ref="R83:S83"/>
    <mergeCell ref="P84:Q84"/>
    <mergeCell ref="R84:S84"/>
    <mergeCell ref="T83:U83"/>
    <mergeCell ref="T81:U81"/>
    <mergeCell ref="F20:F22"/>
    <mergeCell ref="F29:F33"/>
    <mergeCell ref="F23:F24"/>
    <mergeCell ref="R10:S10"/>
    <mergeCell ref="N10:O10"/>
    <mergeCell ref="J9:W9"/>
    <mergeCell ref="T10:U10"/>
    <mergeCell ref="P10:Q10"/>
    <mergeCell ref="L10:M10"/>
    <mergeCell ref="F9:I10"/>
    <mergeCell ref="W10:W11"/>
    <mergeCell ref="V10:V11"/>
    <mergeCell ref="J10:K10"/>
    <mergeCell ref="B9:E10"/>
    <mergeCell ref="C46:C50"/>
    <mergeCell ref="C62:C63"/>
    <mergeCell ref="D29:D33"/>
    <mergeCell ref="D44:D45"/>
    <mergeCell ref="D46:D50"/>
    <mergeCell ref="D54:D56"/>
    <mergeCell ref="D57:D58"/>
    <mergeCell ref="C54:C56"/>
    <mergeCell ref="E54:E56"/>
    <mergeCell ref="C29:C33"/>
    <mergeCell ref="B11:B75"/>
    <mergeCell ref="C44:C45"/>
    <mergeCell ref="E44:E45"/>
    <mergeCell ref="E14:E15"/>
    <mergeCell ref="E16:E17"/>
    <mergeCell ref="C36:C37"/>
    <mergeCell ref="D36:D37"/>
    <mergeCell ref="C14:C15"/>
    <mergeCell ref="C20:C22"/>
    <mergeCell ref="C23:C24"/>
    <mergeCell ref="D20:D22"/>
    <mergeCell ref="D23:D24"/>
    <mergeCell ref="D14:D15"/>
    <mergeCell ref="C57:C58"/>
    <mergeCell ref="E57:E58"/>
    <mergeCell ref="D59:D60"/>
    <mergeCell ref="D62:D63"/>
    <mergeCell ref="T78:U78"/>
    <mergeCell ref="C39:C40"/>
    <mergeCell ref="D39:D40"/>
    <mergeCell ref="C41:C42"/>
    <mergeCell ref="D41:D42"/>
    <mergeCell ref="P82:Q82"/>
    <mergeCell ref="I81:K81"/>
    <mergeCell ref="C59:C60"/>
    <mergeCell ref="P88:Q88"/>
    <mergeCell ref="I78:K78"/>
    <mergeCell ref="I79:K79"/>
    <mergeCell ref="L79:M79"/>
    <mergeCell ref="N79:O79"/>
    <mergeCell ref="P79:Q79"/>
    <mergeCell ref="L87:M87"/>
    <mergeCell ref="N87:O87"/>
    <mergeCell ref="C71:C72"/>
    <mergeCell ref="D71:D72"/>
    <mergeCell ref="N80:O80"/>
    <mergeCell ref="P80:Q80"/>
    <mergeCell ref="N81:O81"/>
    <mergeCell ref="P81:Q81"/>
    <mergeCell ref="N78:O78"/>
    <mergeCell ref="P78:Q78"/>
    <mergeCell ref="L85:M85"/>
    <mergeCell ref="N85:O85"/>
    <mergeCell ref="L84:M84"/>
    <mergeCell ref="N84:O84"/>
    <mergeCell ref="L86:M86"/>
    <mergeCell ref="N86:O86"/>
    <mergeCell ref="E80:H80"/>
    <mergeCell ref="H29:H33"/>
    <mergeCell ref="E82:H82"/>
    <mergeCell ref="E83:H83"/>
    <mergeCell ref="E84:H84"/>
    <mergeCell ref="E85:H85"/>
    <mergeCell ref="I80:K80"/>
    <mergeCell ref="E39:E40"/>
    <mergeCell ref="L78:M78"/>
    <mergeCell ref="L81:M81"/>
    <mergeCell ref="L80:M80"/>
    <mergeCell ref="E91:H91"/>
    <mergeCell ref="E20:E22"/>
    <mergeCell ref="E29:E33"/>
    <mergeCell ref="E59:E60"/>
    <mergeCell ref="E77:H77"/>
    <mergeCell ref="E78:H78"/>
    <mergeCell ref="E46:E50"/>
    <mergeCell ref="E62:E63"/>
    <mergeCell ref="E41:E42"/>
    <mergeCell ref="E36:E37"/>
    <mergeCell ref="H20:H22"/>
    <mergeCell ref="E81:H81"/>
    <mergeCell ref="E71:E72"/>
    <mergeCell ref="H23:H24"/>
    <mergeCell ref="E79:H79"/>
    <mergeCell ref="AL41:AL42"/>
    <mergeCell ref="AM41:AM42"/>
    <mergeCell ref="AN41:AN42"/>
    <mergeCell ref="AM23:AM24"/>
    <mergeCell ref="AN23:AN24"/>
    <mergeCell ref="AD23:AF23"/>
    <mergeCell ref="AG23:AI23"/>
    <mergeCell ref="AD24:AF24"/>
    <mergeCell ref="AG41:AI41"/>
    <mergeCell ref="AD39:AF39"/>
    <mergeCell ref="AL39:AL40"/>
    <mergeCell ref="AM39:AM40"/>
    <mergeCell ref="AN39:AN40"/>
    <mergeCell ref="AD36:AF36"/>
    <mergeCell ref="AL36:AL37"/>
    <mergeCell ref="AD31:AF31"/>
    <mergeCell ref="AG31:AI31"/>
    <mergeCell ref="AD32:AF32"/>
    <mergeCell ref="AG32:AI32"/>
    <mergeCell ref="AD38:AF38"/>
    <mergeCell ref="AG38:AI38"/>
    <mergeCell ref="AG26:AI26"/>
    <mergeCell ref="AD33:AF33"/>
    <mergeCell ref="AL29:AL33"/>
    <mergeCell ref="AM29:AM33"/>
    <mergeCell ref="AN29:AN33"/>
    <mergeCell ref="AA19:AC19"/>
    <mergeCell ref="X20:Z20"/>
    <mergeCell ref="AA20:AC20"/>
    <mergeCell ref="X21:Z21"/>
    <mergeCell ref="AA21:AC21"/>
    <mergeCell ref="X22:Z22"/>
    <mergeCell ref="AA22:AC22"/>
    <mergeCell ref="X23:Z23"/>
    <mergeCell ref="AA23:AC23"/>
    <mergeCell ref="X24:Z24"/>
    <mergeCell ref="AA24:AC24"/>
    <mergeCell ref="X25:Z25"/>
    <mergeCell ref="AA25:AC25"/>
    <mergeCell ref="X26:Z26"/>
    <mergeCell ref="AA26:AC26"/>
    <mergeCell ref="X28:Z28"/>
    <mergeCell ref="AA28:AC28"/>
    <mergeCell ref="X29:Z29"/>
    <mergeCell ref="AA29:AC29"/>
    <mergeCell ref="X30:Z30"/>
    <mergeCell ref="X31:Z31"/>
    <mergeCell ref="AA31:AC31"/>
    <mergeCell ref="AL44:AL45"/>
    <mergeCell ref="AM44:AM45"/>
    <mergeCell ref="AN44:AN45"/>
    <mergeCell ref="AL20:AL22"/>
    <mergeCell ref="AM20:AM22"/>
    <mergeCell ref="AN20:AN22"/>
    <mergeCell ref="AL23:AL24"/>
    <mergeCell ref="AM68:AM69"/>
    <mergeCell ref="AN68:AN69"/>
    <mergeCell ref="AL59:AL60"/>
    <mergeCell ref="AM59:AM60"/>
    <mergeCell ref="AN59:AN60"/>
    <mergeCell ref="AL57:AL58"/>
    <mergeCell ref="AM57:AM58"/>
    <mergeCell ref="AN57:AN58"/>
    <mergeCell ref="AL46:AL50"/>
    <mergeCell ref="AM46:AM50"/>
    <mergeCell ref="AN46:AN50"/>
    <mergeCell ref="AM36:AM37"/>
    <mergeCell ref="AN36:AN37"/>
    <mergeCell ref="AM62:AM63"/>
    <mergeCell ref="AN62:AN63"/>
    <mergeCell ref="AL54:AL56"/>
    <mergeCell ref="AM54:AM56"/>
    <mergeCell ref="AN54:AN56"/>
    <mergeCell ref="AD55:AF55"/>
    <mergeCell ref="AD63:AF63"/>
    <mergeCell ref="AD56:AF56"/>
    <mergeCell ref="AG56:AI56"/>
    <mergeCell ref="AD58:AF58"/>
    <mergeCell ref="AG58:AI58"/>
    <mergeCell ref="AD60:AF60"/>
    <mergeCell ref="AG60:AI60"/>
    <mergeCell ref="AD62:AF62"/>
    <mergeCell ref="AG62:AI62"/>
    <mergeCell ref="AL68:AL69"/>
    <mergeCell ref="F59:F60"/>
    <mergeCell ref="AD50:AF50"/>
    <mergeCell ref="AG51:AI51"/>
    <mergeCell ref="AD64:AF64"/>
    <mergeCell ref="AD65:AF65"/>
    <mergeCell ref="AG65:AI65"/>
    <mergeCell ref="AD66:AF66"/>
    <mergeCell ref="AG66:AI66"/>
    <mergeCell ref="AD68:AF68"/>
    <mergeCell ref="AG68:AI68"/>
    <mergeCell ref="AD61:AF61"/>
    <mergeCell ref="AG61:AI61"/>
    <mergeCell ref="AG55:AI55"/>
    <mergeCell ref="AG63:AI63"/>
    <mergeCell ref="AG64:AI64"/>
    <mergeCell ref="AD69:AF69"/>
    <mergeCell ref="AL62:AL63"/>
    <mergeCell ref="X50:Z50"/>
    <mergeCell ref="AA50:AC50"/>
    <mergeCell ref="X51:Z51"/>
    <mergeCell ref="AA51:AC51"/>
    <mergeCell ref="X58:Z58"/>
    <mergeCell ref="AA58:AC58"/>
    <mergeCell ref="AA41:AC41"/>
    <mergeCell ref="X42:Z42"/>
    <mergeCell ref="AA42:AC42"/>
    <mergeCell ref="X43:Z43"/>
    <mergeCell ref="AA43:AC43"/>
    <mergeCell ref="X34:Z34"/>
    <mergeCell ref="AA34:AC34"/>
    <mergeCell ref="X35:Z35"/>
    <mergeCell ref="AA35:AC35"/>
    <mergeCell ref="X36:Z36"/>
    <mergeCell ref="AA36:AC36"/>
    <mergeCell ref="X37:Z37"/>
    <mergeCell ref="AA37:AC37"/>
    <mergeCell ref="X38:Z38"/>
    <mergeCell ref="AA38:AC38"/>
    <mergeCell ref="X62:Z62"/>
    <mergeCell ref="AA62:AC62"/>
    <mergeCell ref="X63:Z63"/>
    <mergeCell ref="AA63:AC63"/>
    <mergeCell ref="X56:Z56"/>
    <mergeCell ref="AA56:AC56"/>
    <mergeCell ref="X57:Z57"/>
    <mergeCell ref="AA57:AC57"/>
    <mergeCell ref="X47:Z47"/>
    <mergeCell ref="AA47:AC47"/>
    <mergeCell ref="X48:Z48"/>
    <mergeCell ref="AA48:AC48"/>
    <mergeCell ref="X49:Z49"/>
    <mergeCell ref="AA49:AC49"/>
    <mergeCell ref="X54:Z54"/>
    <mergeCell ref="AA54:AC54"/>
    <mergeCell ref="X55:Z55"/>
    <mergeCell ref="AA55:AC55"/>
    <mergeCell ref="AD70:AF70"/>
    <mergeCell ref="AG70:AI70"/>
    <mergeCell ref="AG71:AI71"/>
    <mergeCell ref="AG72:AI72"/>
    <mergeCell ref="X65:Z65"/>
    <mergeCell ref="AA65:AC65"/>
    <mergeCell ref="X66:Z66"/>
    <mergeCell ref="AA66:AC66"/>
    <mergeCell ref="X68:Z68"/>
    <mergeCell ref="AA68:AC68"/>
    <mergeCell ref="X69:Z69"/>
    <mergeCell ref="AA69:AC69"/>
    <mergeCell ref="X70:Z70"/>
    <mergeCell ref="AA70:AC70"/>
    <mergeCell ref="X71:Z71"/>
    <mergeCell ref="AA71:AC71"/>
    <mergeCell ref="X72:Z72"/>
    <mergeCell ref="AA72:AC72"/>
    <mergeCell ref="R80:S80"/>
    <mergeCell ref="T80:U80"/>
    <mergeCell ref="T79:U79"/>
    <mergeCell ref="R79:S79"/>
    <mergeCell ref="R78:S78"/>
    <mergeCell ref="X76:Z76"/>
    <mergeCell ref="L77:M77"/>
    <mergeCell ref="N77:O77"/>
    <mergeCell ref="P77:Q77"/>
    <mergeCell ref="R77:S77"/>
    <mergeCell ref="T77:U77"/>
    <mergeCell ref="AQ74:AQ75"/>
    <mergeCell ref="X74:Z74"/>
    <mergeCell ref="AA74:AC74"/>
    <mergeCell ref="AD74:AF74"/>
    <mergeCell ref="AG74:AI74"/>
    <mergeCell ref="AN74:AN75"/>
    <mergeCell ref="AG75:AI75"/>
    <mergeCell ref="AD73:AF73"/>
    <mergeCell ref="AD75:AF75"/>
    <mergeCell ref="X73:Z73"/>
    <mergeCell ref="AA73:AC73"/>
    <mergeCell ref="X75:Z75"/>
    <mergeCell ref="AA75:AC75"/>
    <mergeCell ref="AD76:AF76"/>
    <mergeCell ref="AA76:AC76"/>
    <mergeCell ref="AG76:AI76"/>
    <mergeCell ref="AL71:AL72"/>
    <mergeCell ref="AM71:AM72"/>
    <mergeCell ref="AN71:AN72"/>
    <mergeCell ref="AO71:AO72"/>
    <mergeCell ref="AP71:AP72"/>
    <mergeCell ref="AQ71:AQ72"/>
    <mergeCell ref="AR71:AR72"/>
    <mergeCell ref="AG73:AI73"/>
    <mergeCell ref="AD71:AF71"/>
    <mergeCell ref="AD72:AF72"/>
    <mergeCell ref="AS67:AU67"/>
    <mergeCell ref="X67:Z67"/>
    <mergeCell ref="AA67:AC67"/>
    <mergeCell ref="AD67:AF67"/>
    <mergeCell ref="AG67:AI67"/>
    <mergeCell ref="AQ66:AQ67"/>
    <mergeCell ref="AR66:AR67"/>
    <mergeCell ref="X27:Z27"/>
    <mergeCell ref="AA27:AC27"/>
    <mergeCell ref="AD27:AF27"/>
    <mergeCell ref="AG27:AI27"/>
    <mergeCell ref="AQ26:AQ27"/>
    <mergeCell ref="AR26:AR27"/>
    <mergeCell ref="AN26:AN27"/>
    <mergeCell ref="AQ41:AQ42"/>
    <mergeCell ref="AR41:AR42"/>
    <mergeCell ref="X64:Z64"/>
    <mergeCell ref="AA64:AC64"/>
    <mergeCell ref="X59:Z59"/>
    <mergeCell ref="AA59:AC59"/>
    <mergeCell ref="X60:Z60"/>
    <mergeCell ref="AA60:AC60"/>
    <mergeCell ref="X61:Z61"/>
    <mergeCell ref="AA61:AC61"/>
    <mergeCell ref="AR12:AR13"/>
    <mergeCell ref="X52:Z52"/>
    <mergeCell ref="AA52:AC52"/>
    <mergeCell ref="AD52:AF52"/>
    <mergeCell ref="X53:Z53"/>
    <mergeCell ref="AA53:AC53"/>
    <mergeCell ref="AG53:AI53"/>
    <mergeCell ref="AD53:AF53"/>
    <mergeCell ref="AG52:AI52"/>
    <mergeCell ref="AL12:AL13"/>
    <mergeCell ref="AM12:AM13"/>
    <mergeCell ref="AN12:AN13"/>
    <mergeCell ref="AQ12:AQ13"/>
    <mergeCell ref="X44:Z44"/>
    <mergeCell ref="AA44:AC44"/>
    <mergeCell ref="X45:Z45"/>
    <mergeCell ref="AA45:AC45"/>
    <mergeCell ref="X46:Z46"/>
    <mergeCell ref="AA46:AC46"/>
    <mergeCell ref="X39:Z39"/>
    <mergeCell ref="AA39:AC39"/>
    <mergeCell ref="X40:Z40"/>
    <mergeCell ref="AA40:AC40"/>
    <mergeCell ref="X41:Z41"/>
  </mergeCells>
  <phoneticPr fontId="4" type="noConversion"/>
  <dataValidations count="1">
    <dataValidation type="list" allowBlank="1" showInputMessage="1" showErrorMessage="1" sqref="J44:J50 J54:J67 J69:J76 J14:J42">
      <formula1>$AV$2:$AV$5</formula1>
    </dataValidation>
  </dataValidations>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User</cp:lastModifiedBy>
  <cp:lastPrinted>2018-02-19T15:51:42Z</cp:lastPrinted>
  <dcterms:created xsi:type="dcterms:W3CDTF">2007-03-15T17:15:41Z</dcterms:created>
  <dcterms:modified xsi:type="dcterms:W3CDTF">2021-08-05T17:11:46Z</dcterms:modified>
</cp:coreProperties>
</file>