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16350" windowHeight="10350"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Indicadores'!$B$11:$AV$91</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Indicadores'!$B$2:$AP$91</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14" i="16" l="1"/>
  <c r="V14" i="16"/>
  <c r="W12" i="16"/>
  <c r="AK12" i="16" l="1"/>
  <c r="AJ71" i="16"/>
  <c r="AJ24" i="16"/>
  <c r="AJ23" i="16"/>
  <c r="AJ12" i="16"/>
  <c r="V19" i="16" l="1"/>
  <c r="AJ33" i="16" l="1"/>
  <c r="AK30" i="16"/>
  <c r="AJ30" i="16"/>
  <c r="AJ29" i="16"/>
  <c r="AK29" i="16" s="1"/>
  <c r="AJ15" i="16" l="1"/>
  <c r="AK15" i="16" s="1"/>
  <c r="AJ14" i="16"/>
  <c r="AK14" i="16" s="1"/>
  <c r="V15" i="16"/>
  <c r="V43" i="16"/>
  <c r="AK24" i="16"/>
  <c r="AK23" i="16"/>
  <c r="K24" i="16"/>
  <c r="K23" i="16"/>
  <c r="X22" i="16"/>
  <c r="AJ22" i="16" s="1"/>
  <c r="AK22" i="16" s="1"/>
  <c r="X21" i="16"/>
  <c r="AJ21" i="16" s="1"/>
  <c r="AK21" i="16" s="1"/>
  <c r="X20" i="16"/>
  <c r="AJ20" i="16" s="1"/>
  <c r="AK20" i="16" s="1"/>
  <c r="V21" i="16"/>
  <c r="W21" i="16" s="1"/>
  <c r="V20" i="16"/>
  <c r="K22" i="16"/>
  <c r="AJ37" i="16" l="1"/>
  <c r="AK37" i="16" s="1"/>
  <c r="W37" i="16"/>
  <c r="V37" i="16"/>
  <c r="V36" i="16"/>
  <c r="V39" i="16"/>
  <c r="V40" i="16"/>
  <c r="AK27" i="16"/>
  <c r="AK26" i="16"/>
  <c r="AJ27" i="16"/>
  <c r="AJ26" i="16"/>
  <c r="W27" i="16"/>
  <c r="W26" i="16"/>
  <c r="W75" i="16"/>
  <c r="V75" i="16"/>
  <c r="W74" i="16"/>
  <c r="V74" i="16"/>
  <c r="AJ75" i="16"/>
  <c r="AJ74" i="16"/>
  <c r="AJ73" i="16"/>
  <c r="V73" i="16"/>
  <c r="W73" i="16" s="1"/>
  <c r="AJ76" i="16"/>
  <c r="AK76" i="16" s="1"/>
  <c r="V76" i="16"/>
  <c r="AK71" i="16"/>
  <c r="W71" i="16"/>
  <c r="V71" i="16"/>
  <c r="AJ70" i="16"/>
  <c r="AJ67" i="16"/>
  <c r="AJ66" i="16"/>
  <c r="W19" i="16" l="1"/>
  <c r="V34" i="16"/>
  <c r="AJ34" i="16"/>
  <c r="AK34" i="16" s="1"/>
  <c r="W34" i="16"/>
  <c r="AJ35" i="16"/>
  <c r="AK35" i="16" s="1"/>
  <c r="W35" i="16"/>
  <c r="V35" i="16"/>
  <c r="AJ60" i="16"/>
  <c r="AK60" i="16" s="1"/>
  <c r="V60" i="16"/>
  <c r="W60" i="16" s="1"/>
  <c r="AJ59" i="16"/>
  <c r="AK59" i="16" s="1"/>
  <c r="V59" i="16"/>
  <c r="AJ53" i="16"/>
  <c r="AK53" i="16" s="1"/>
  <c r="V53" i="16"/>
  <c r="W53" i="16" s="1"/>
  <c r="AJ52" i="16"/>
  <c r="AK52" i="16" s="1"/>
  <c r="V52" i="16"/>
  <c r="AJ51" i="16"/>
  <c r="AK51" i="16" s="1"/>
  <c r="V51" i="16"/>
  <c r="AJ28" i="16"/>
  <c r="AK28" i="16" s="1"/>
  <c r="V28" i="16"/>
  <c r="W28" i="16" s="1"/>
  <c r="AJ25" i="16"/>
  <c r="AK25" i="16" s="1"/>
  <c r="V25" i="16"/>
  <c r="AJ18" i="16"/>
  <c r="AK18" i="16" s="1"/>
  <c r="K18" i="16"/>
  <c r="AJ58" i="16"/>
  <c r="AK58" i="16" s="1"/>
  <c r="V58" i="16"/>
  <c r="AJ57" i="16"/>
  <c r="AK57" i="16" s="1"/>
  <c r="V57" i="16"/>
  <c r="W57" i="16" s="1"/>
  <c r="AK62" i="16"/>
  <c r="AJ63" i="16"/>
  <c r="AK63" i="16" s="1"/>
  <c r="V63" i="16"/>
  <c r="AJ55" i="16"/>
  <c r="AK55" i="16" s="1"/>
  <c r="AJ54" i="16"/>
  <c r="AK54" i="16" s="1"/>
  <c r="AJ61" i="16"/>
  <c r="AK61" i="16" s="1"/>
  <c r="V61" i="16"/>
  <c r="V55" i="16"/>
  <c r="V54" i="16"/>
  <c r="AJ56" i="16"/>
  <c r="AK56" i="16" s="1"/>
  <c r="V56" i="16"/>
  <c r="W56" i="16" s="1"/>
  <c r="AJ49" i="16"/>
  <c r="AK49" i="16" s="1"/>
  <c r="V49" i="16"/>
  <c r="AJ48" i="16"/>
  <c r="AK48" i="16" s="1"/>
  <c r="V48" i="16"/>
  <c r="W48" i="16" s="1"/>
  <c r="AJ47" i="16"/>
  <c r="AK47" i="16" s="1"/>
  <c r="V47" i="16"/>
  <c r="AJ46" i="16"/>
  <c r="AK46" i="16" s="1"/>
  <c r="AK50" i="16" l="1"/>
  <c r="V50" i="16"/>
  <c r="AJ44" i="16"/>
  <c r="AJ45" i="16"/>
  <c r="AK45" i="16" s="1"/>
  <c r="V45" i="16"/>
  <c r="AJ38" i="16"/>
  <c r="AK38" i="16" s="1"/>
  <c r="W38" i="16"/>
  <c r="V38" i="16"/>
  <c r="W64" i="16"/>
  <c r="AJ65" i="16" l="1"/>
  <c r="AK65" i="16" s="1"/>
  <c r="V65" i="16"/>
  <c r="AJ69" i="16"/>
  <c r="AJ68" i="16"/>
  <c r="W42" i="16"/>
  <c r="W17" i="16"/>
  <c r="W16" i="16"/>
  <c r="V67" i="16" l="1"/>
  <c r="V66" i="16"/>
  <c r="V72" i="16" l="1"/>
  <c r="W72" i="16" s="1"/>
  <c r="W66" i="16"/>
  <c r="AJ50" i="16" l="1"/>
  <c r="V18" i="16"/>
  <c r="W18" i="16" s="1"/>
  <c r="K52" i="16" l="1"/>
  <c r="W52" i="16" s="1"/>
  <c r="K15" i="16"/>
  <c r="K14" i="16"/>
  <c r="V23" i="16" l="1"/>
  <c r="V22" i="16"/>
  <c r="W22" i="16" s="1"/>
  <c r="AK73" i="16"/>
  <c r="W67" i="16"/>
  <c r="AK67" i="16" l="1"/>
  <c r="W25" i="16" l="1"/>
  <c r="K12" i="16"/>
  <c r="V12" i="16"/>
  <c r="AJ43" i="16"/>
  <c r="AK43" i="16" s="1"/>
  <c r="K21" i="16"/>
  <c r="V70" i="16" l="1"/>
  <c r="W70" i="16" s="1"/>
  <c r="W59" i="16"/>
  <c r="V30" i="16"/>
  <c r="V32" i="16"/>
  <c r="V33" i="16"/>
  <c r="V29" i="16"/>
  <c r="W15" i="16"/>
  <c r="V24" i="16"/>
  <c r="W24" i="16" s="1"/>
  <c r="W23" i="16"/>
  <c r="W36" i="16"/>
  <c r="V27" i="16"/>
  <c r="K49" i="16"/>
  <c r="W49" i="16" s="1"/>
  <c r="K47" i="16"/>
  <c r="W47" i="16" s="1"/>
  <c r="K46" i="16"/>
  <c r="K43" i="16"/>
  <c r="AJ40" i="16"/>
  <c r="AK40" i="16" s="1"/>
  <c r="AJ39" i="16"/>
  <c r="AK39" i="16" s="1"/>
  <c r="M42" i="16"/>
  <c r="K42" i="16"/>
  <c r="K41" i="16"/>
  <c r="AJ36" i="16"/>
  <c r="AK36" i="16" s="1"/>
  <c r="AK33" i="16"/>
  <c r="AJ31" i="16"/>
  <c r="AK31" i="16" s="1"/>
  <c r="K33" i="16"/>
  <c r="K32" i="16"/>
  <c r="V31" i="16"/>
  <c r="K31" i="16"/>
  <c r="K30" i="16"/>
  <c r="K29" i="16"/>
  <c r="K20" i="16"/>
  <c r="AJ19" i="16"/>
  <c r="AK19" i="16" s="1"/>
  <c r="M17" i="16"/>
  <c r="K17" i="16"/>
  <c r="K16" i="16"/>
  <c r="AJ64" i="16"/>
  <c r="AK64" i="16" s="1"/>
  <c r="AK70" i="16"/>
  <c r="V79" i="16"/>
  <c r="V80" i="16"/>
  <c r="V81" i="16"/>
  <c r="V82" i="16"/>
  <c r="V84" i="16"/>
  <c r="V89" i="16"/>
  <c r="V90" i="16"/>
  <c r="V78" i="16"/>
  <c r="K64" i="16"/>
  <c r="K76" i="16"/>
  <c r="W76" i="16" s="1"/>
  <c r="AK66" i="16"/>
  <c r="W65" i="16"/>
  <c r="W63" i="16"/>
  <c r="M62" i="16"/>
  <c r="V62" i="16" s="1"/>
  <c r="K62" i="16"/>
  <c r="W61" i="16"/>
  <c r="W58" i="16"/>
  <c r="K55" i="16"/>
  <c r="W55" i="16" s="1"/>
  <c r="K54" i="16"/>
  <c r="W54" i="16" s="1"/>
  <c r="K51" i="16"/>
  <c r="W50" i="16"/>
  <c r="M46" i="16"/>
  <c r="V46" i="16" s="1"/>
  <c r="W45" i="16"/>
  <c r="M44" i="16"/>
  <c r="V44" i="16" s="1"/>
  <c r="K44" i="16"/>
  <c r="W40" i="16"/>
  <c r="W39" i="16"/>
  <c r="AK17" i="16"/>
  <c r="AJ17" i="16"/>
  <c r="AJ16" i="16"/>
  <c r="AK16" i="16"/>
  <c r="W31" i="16" l="1"/>
  <c r="W46" i="16"/>
  <c r="W62" i="16"/>
  <c r="W29" i="16"/>
  <c r="W20" i="16"/>
  <c r="W51" i="16"/>
  <c r="W43" i="16"/>
  <c r="W44" i="16"/>
  <c r="W33" i="16"/>
  <c r="W32" i="16"/>
  <c r="W30" i="16"/>
</calcChain>
</file>

<file path=xl/comments1.xml><?xml version="1.0" encoding="utf-8"?>
<comments xmlns="http://schemas.openxmlformats.org/spreadsheetml/2006/main">
  <authors>
    <author>User</author>
  </authors>
  <commentList>
    <comment ref="AK74"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AK75"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L78" authorId="0" shapeId="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L79" authorId="0" shapeId="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L80" authorId="0" shapeId="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L81" authorId="0" shapeId="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L82" authorId="0" shapeId="0">
      <text>
        <r>
          <rPr>
            <b/>
            <sz val="9"/>
            <color indexed="81"/>
            <rFont val="Tahoma"/>
            <family val="2"/>
          </rPr>
          <t>User:</t>
        </r>
        <r>
          <rPr>
            <sz val="9"/>
            <color indexed="81"/>
            <rFont val="Tahoma"/>
            <family val="2"/>
          </rPr>
          <t xml:space="preserve">
Información suministrada por la Dirección de Inteligencia para la Movilidad (DIM), 2020</t>
        </r>
      </text>
    </comment>
    <comment ref="L83" authorId="0" shapeId="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L84" authorId="0" shapeId="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L85"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N85"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L86"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N86"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L87"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N87"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N8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9" authorId="0" shapeId="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L90" authorId="0" shapeId="0">
      <text>
        <r>
          <rPr>
            <b/>
            <sz val="9"/>
            <color indexed="81"/>
            <rFont val="Tahoma"/>
            <family val="2"/>
          </rPr>
          <t>User:</t>
        </r>
        <r>
          <rPr>
            <sz val="9"/>
            <color indexed="81"/>
            <rFont val="Tahoma"/>
            <family val="2"/>
          </rPr>
          <t xml:space="preserve">
Información consolidada desde la Dirección de Planeación de la Movilidad y la OTIC.</t>
        </r>
      </text>
    </comment>
    <comment ref="N90"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91"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<sst xmlns="http://schemas.openxmlformats.org/spreadsheetml/2006/main" count="3204" uniqueCount="2596">
  <si>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</si>
  <si>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</si>
  <si>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</si>
  <si>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</si>
  <si>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</si>
  <si>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</si>
  <si>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</si>
  <si>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</si>
  <si>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</si>
  <si>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</si>
  <si>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</si>
  <si>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</si>
  <si>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</si>
  <si>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</si>
  <si>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</si>
  <si>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</si>
  <si>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</si>
  <si>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</si>
  <si>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</si>
  <si>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</si>
  <si>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</si>
  <si>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</si>
  <si>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</si>
  <si>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</si>
  <si>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</si>
  <si>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</si>
  <si>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</si>
  <si>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</si>
  <si>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</si>
  <si>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</si>
  <si>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</si>
  <si>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</si>
  <si>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</si>
  <si>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</si>
  <si>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</si>
  <si>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</si>
  <si>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</si>
  <si>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</si>
  <si>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</si>
  <si>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</si>
  <si>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</si>
  <si>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</si>
  <si>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</si>
  <si>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</si>
  <si>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</si>
  <si>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</si>
  <si>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</si>
  <si>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</si>
  <si>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</si>
  <si>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</si>
  <si>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</si>
  <si>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</si>
  <si>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</si>
  <si>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</si>
  <si>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</si>
  <si>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</si>
  <si>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</si>
  <si>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</si>
  <si>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</si>
  <si>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</si>
  <si>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</si>
  <si>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</si>
  <si>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</si>
  <si>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</si>
  <si>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</si>
  <si>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</si>
  <si>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</si>
  <si>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</si>
  <si>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</si>
  <si>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</si>
  <si>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</si>
  <si>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</si>
  <si>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</si>
  <si>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</si>
  <si>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</si>
  <si>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</si>
  <si>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</si>
  <si>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</si>
  <si>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</si>
  <si>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</si>
  <si>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</si>
  <si>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</si>
  <si>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</si>
  <si>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</si>
  <si>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</si>
  <si>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</si>
  <si>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</si>
  <si>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</si>
  <si>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</si>
  <si>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</si>
  <si>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</si>
  <si>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</si>
  <si>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</si>
  <si>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</si>
  <si>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</si>
  <si>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</si>
  <si>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</si>
  <si>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</si>
  <si>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</si>
  <si>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</si>
  <si>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</si>
  <si>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</si>
  <si>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</si>
  <si>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</si>
  <si>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</si>
  <si>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</si>
  <si>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</si>
  <si>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</si>
  <si>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</si>
  <si>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</si>
  <si>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</si>
  <si>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</si>
  <si>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</si>
  <si>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</si>
  <si>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</si>
  <si>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</si>
  <si>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</si>
  <si>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</si>
  <si>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</si>
  <si>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</si>
  <si>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</si>
  <si>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</si>
  <si>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</si>
  <si>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</si>
  <si>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</si>
  <si>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</si>
  <si>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</si>
  <si>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</si>
  <si>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</si>
  <si>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</si>
  <si>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</si>
  <si>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</si>
  <si>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</si>
  <si>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</si>
  <si>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</si>
  <si>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</si>
  <si>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</si>
  <si>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</si>
  <si>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</si>
  <si>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</si>
  <si>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</si>
  <si>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</si>
  <si>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</si>
  <si>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</si>
  <si>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</si>
  <si>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</si>
  <si>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</si>
  <si>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</si>
  <si>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</si>
  <si>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</si>
  <si>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</si>
  <si>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</si>
  <si>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</si>
  <si>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</si>
  <si>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</si>
  <si>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</si>
  <si>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</si>
  <si>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</si>
  <si>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</si>
  <si>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</si>
  <si>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</si>
  <si>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</si>
  <si>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</si>
  <si>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</si>
  <si>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</si>
  <si>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</si>
  <si>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</si>
  <si>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</si>
  <si>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</si>
  <si>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</si>
  <si>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</si>
  <si>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</si>
  <si>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</si>
  <si>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</si>
  <si>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</si>
  <si>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</si>
  <si>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</si>
  <si>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</si>
  <si>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</si>
  <si>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</si>
  <si>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</si>
  <si>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</si>
  <si>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</si>
  <si>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</si>
  <si>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</si>
  <si>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</si>
  <si>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</si>
  <si>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</si>
  <si>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</si>
  <si>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</si>
  <si>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</si>
  <si>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</si>
  <si>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</si>
  <si>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</si>
  <si>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</si>
  <si>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</si>
  <si>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</si>
  <si>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</si>
  <si>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</si>
  <si>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</si>
  <si>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</si>
  <si>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</si>
  <si>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</si>
  <si>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</si>
  <si>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</si>
  <si>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</si>
  <si>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</si>
  <si>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</si>
  <si>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</si>
  <si>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</si>
  <si>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</si>
  <si>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</si>
  <si>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</si>
  <si>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</si>
  <si>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</si>
  <si>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</si>
  <si>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</si>
  <si>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</si>
  <si>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</si>
  <si>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</si>
  <si>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</si>
  <si>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</si>
  <si>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</si>
  <si>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</si>
  <si>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</si>
  <si>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</si>
  <si>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</si>
  <si>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</si>
  <si>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</si>
  <si>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</si>
  <si>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</si>
  <si>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</si>
  <si>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</si>
  <si>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</si>
  <si>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</si>
  <si>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</si>
  <si>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</si>
  <si>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</si>
  <si>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</si>
  <si>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</si>
  <si>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</si>
  <si>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</si>
  <si>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</si>
  <si>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</si>
  <si>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</si>
  <si>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</si>
  <si>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</si>
  <si>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</si>
  <si>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</si>
  <si>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</si>
  <si>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</si>
  <si>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</si>
  <si>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</si>
  <si>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</si>
  <si>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</si>
  <si>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</si>
  <si>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</si>
  <si>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</si>
  <si>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</si>
  <si>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</si>
  <si>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</si>
  <si>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</si>
  <si>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</si>
  <si>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</si>
  <si>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</si>
  <si>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</si>
  <si>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</si>
  <si>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</si>
  <si>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</si>
  <si>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</si>
  <si>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</si>
  <si>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</si>
  <si>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</si>
  <si>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</si>
  <si>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</si>
  <si>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</si>
  <si>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</si>
  <si>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</si>
  <si>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</si>
  <si>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</si>
  <si>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</si>
  <si>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</si>
  <si>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</si>
  <si>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</si>
  <si>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</si>
  <si>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</si>
  <si>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</si>
  <si>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</si>
  <si>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</si>
  <si>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</si>
  <si>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</si>
  <si>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</si>
  <si>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</si>
  <si>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</si>
  <si>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</si>
  <si>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</si>
  <si>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</si>
  <si>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</si>
  <si>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</si>
  <si>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</si>
  <si>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</si>
  <si>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</si>
  <si>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</si>
  <si>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</si>
  <si>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</si>
  <si>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</si>
  <si>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</si>
  <si>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</si>
  <si>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</si>
  <si>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</si>
  <si>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</si>
  <si>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</si>
  <si>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</si>
  <si>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</si>
  <si>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</si>
  <si>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</si>
  <si>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</si>
  <si>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</si>
  <si>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</si>
  <si>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</si>
  <si>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</si>
  <si>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</si>
  <si>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</si>
  <si>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</si>
  <si>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</si>
  <si>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</si>
  <si>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</si>
  <si>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</si>
  <si>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</si>
  <si>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</si>
  <si>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</si>
  <si>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</si>
  <si>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</si>
  <si>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</si>
  <si>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</si>
  <si>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</si>
  <si>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</si>
  <si>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</si>
  <si>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</si>
  <si>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</si>
  <si>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</si>
  <si>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</si>
  <si>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</si>
  <si>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</si>
  <si>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</si>
  <si>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</si>
  <si>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</si>
  <si>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</si>
  <si>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</si>
  <si>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</si>
  <si>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</si>
  <si>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</si>
  <si>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</si>
  <si>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</si>
  <si>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</si>
  <si>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</si>
  <si>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</si>
  <si>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</si>
  <si>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</si>
  <si>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</si>
  <si>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</si>
  <si>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</si>
  <si>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</si>
  <si>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</si>
  <si>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</si>
  <si>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</si>
  <si>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</si>
  <si>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</si>
  <si>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</si>
  <si>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</si>
  <si>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</si>
  <si>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</si>
  <si>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</si>
  <si>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</si>
  <si>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</si>
  <si>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</si>
  <si>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</si>
  <si>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</si>
  <si>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</si>
  <si>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</si>
  <si>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</si>
  <si>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</si>
  <si>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</si>
  <si>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</si>
  <si>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</si>
  <si>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</si>
  <si>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</si>
  <si>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</si>
  <si>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</si>
  <si>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</si>
  <si>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</si>
  <si>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</si>
  <si>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</si>
  <si>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</si>
  <si>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</si>
  <si>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</si>
  <si>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</si>
  <si>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</si>
  <si>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</si>
  <si>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</si>
  <si>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</si>
  <si>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</si>
  <si>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</si>
  <si>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</si>
  <si>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</si>
  <si>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</si>
  <si>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</si>
  <si>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</si>
  <si>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</si>
  <si>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</si>
  <si>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</si>
  <si>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</si>
  <si>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</si>
  <si>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</si>
  <si>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</si>
  <si>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</si>
  <si>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</si>
  <si>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</si>
  <si>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</si>
  <si>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</si>
  <si>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</si>
  <si>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</si>
  <si>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</si>
  <si>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</si>
  <si>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</si>
  <si>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</si>
  <si>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</si>
  <si>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</si>
  <si>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</si>
  <si>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</si>
  <si>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</si>
  <si>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</si>
  <si>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</si>
  <si>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</si>
  <si>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</si>
  <si>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</si>
  <si>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</si>
  <si>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</si>
  <si>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</si>
  <si>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</si>
  <si>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</si>
  <si>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</si>
  <si>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</si>
  <si>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</si>
  <si>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</si>
  <si>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</si>
  <si>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</si>
  <si>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</si>
  <si>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</si>
  <si>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</si>
  <si>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</si>
  <si>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</si>
  <si>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</si>
  <si>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</si>
  <si>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</si>
  <si>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</si>
  <si>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</si>
  <si>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</si>
  <si>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</si>
  <si>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</si>
  <si>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</si>
  <si>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</si>
  <si>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</si>
  <si>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</si>
  <si>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</si>
  <si>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</si>
  <si>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</si>
  <si>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</si>
  <si>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</si>
  <si>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</si>
  <si>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</si>
  <si>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</si>
  <si>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</si>
  <si>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</si>
  <si>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</si>
  <si>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</si>
  <si>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</si>
  <si>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</si>
  <si>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</si>
  <si>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</si>
  <si>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</si>
  <si>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</si>
  <si>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</si>
  <si>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</si>
  <si>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</si>
  <si>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</si>
  <si>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</si>
  <si>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</si>
  <si>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</si>
  <si>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</si>
  <si>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</si>
  <si>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</si>
  <si>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</si>
  <si>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</si>
  <si>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</si>
  <si>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</si>
  <si>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</si>
  <si>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</si>
  <si>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</si>
  <si>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</si>
  <si>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</si>
  <si>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</si>
  <si>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</si>
  <si>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</si>
  <si>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</si>
  <si>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</si>
  <si>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</si>
  <si>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</si>
  <si>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</si>
  <si>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</si>
  <si>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</si>
  <si>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</si>
  <si>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</si>
  <si>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</si>
  <si>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</si>
  <si>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</si>
  <si>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</si>
  <si>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</si>
  <si>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</si>
  <si>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</si>
  <si>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</si>
  <si>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</si>
  <si>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</si>
  <si>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</si>
  <si>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</si>
  <si>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</si>
  <si>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</si>
  <si>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</si>
  <si>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</si>
  <si>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</si>
  <si>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</si>
  <si>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</si>
  <si>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</si>
  <si>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</si>
  <si>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</si>
  <si>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</si>
  <si>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</si>
  <si>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</si>
  <si>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</si>
  <si>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</si>
  <si>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</si>
  <si>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</si>
  <si>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</si>
  <si>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</si>
  <si>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</si>
  <si>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</si>
  <si>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</si>
  <si>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</si>
  <si>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</si>
  <si>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</si>
  <si>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</si>
  <si>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</si>
  <si>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</si>
  <si>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</si>
  <si>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</si>
  <si>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</si>
  <si>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</si>
  <si>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</si>
  <si>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</si>
  <si>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</si>
  <si>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</si>
  <si>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</si>
  <si>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</si>
  <si>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</si>
  <si>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</si>
  <si>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</si>
  <si>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</si>
  <si>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</si>
  <si>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</si>
  <si>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</si>
  <si>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</si>
  <si>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</si>
  <si>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</si>
  <si>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</si>
  <si>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</si>
  <si>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</si>
  <si>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</si>
  <si>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</si>
  <si>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</si>
  <si>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</si>
  <si>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</si>
  <si>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</si>
  <si>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</si>
  <si>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</si>
  <si>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</si>
  <si>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</si>
  <si>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</si>
  <si>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</si>
  <si>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</si>
  <si>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</si>
  <si>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</si>
  <si>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</si>
  <si>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</si>
  <si>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</si>
  <si>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</si>
  <si>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</si>
  <si>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</si>
  <si>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</si>
  <si>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</si>
  <si>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</si>
  <si>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</si>
  <si>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</si>
  <si>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</si>
  <si>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</si>
  <si>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</si>
  <si>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</si>
  <si>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</si>
  <si>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</si>
  <si>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</si>
  <si>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</si>
  <si>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</si>
  <si>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</si>
  <si>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</si>
  <si>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</si>
  <si>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</si>
  <si>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</si>
  <si>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</si>
  <si>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</si>
  <si>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</si>
  <si>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</si>
  <si>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</si>
  <si>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</si>
  <si>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</si>
  <si>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</si>
  <si>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</si>
  <si>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</si>
  <si>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</si>
  <si>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</si>
  <si>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</si>
  <si>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</si>
  <si>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</si>
  <si>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</si>
  <si>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</si>
  <si>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</si>
  <si>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</si>
  <si>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</si>
  <si>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</si>
  <si>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</si>
  <si>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</si>
  <si>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</si>
  <si>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</si>
  <si>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</si>
  <si>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</si>
  <si>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</si>
  <si>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</si>
  <si>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</si>
  <si>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</si>
  <si>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</si>
  <si>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</si>
  <si>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</si>
  <si>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</si>
  <si>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</si>
  <si>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</si>
  <si>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</si>
  <si>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</si>
  <si>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</si>
  <si>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</si>
  <si>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</si>
  <si>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</si>
  <si>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</si>
  <si>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</si>
  <si>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</si>
  <si>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</si>
  <si>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</si>
  <si>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</si>
  <si>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</si>
  <si>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</si>
  <si>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</si>
  <si>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</si>
  <si>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</si>
  <si>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</si>
  <si>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</si>
  <si>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</si>
  <si>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</si>
  <si>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</si>
  <si>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</si>
  <si>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</si>
  <si>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</si>
  <si>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</si>
  <si>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</si>
  <si>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</si>
  <si>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</si>
  <si>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</si>
  <si>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</si>
  <si>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</si>
  <si>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</si>
  <si>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</si>
  <si>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</si>
  <si>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</si>
  <si>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</si>
  <si>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</si>
  <si>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</si>
  <si>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</si>
  <si>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</si>
  <si>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</si>
  <si>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</si>
  <si>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</si>
  <si>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</si>
  <si>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</si>
  <si>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</si>
  <si>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</si>
  <si>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</si>
  <si>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</si>
  <si>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</si>
  <si>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</si>
  <si>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</si>
  <si>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</si>
  <si>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</si>
  <si>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</si>
  <si>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</si>
  <si>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</si>
  <si>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</si>
  <si>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</si>
  <si>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</si>
  <si>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</si>
  <si>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</si>
  <si>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</si>
  <si>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</si>
  <si>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</si>
  <si>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</si>
  <si>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</si>
  <si>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</si>
  <si>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</si>
  <si>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</si>
  <si>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</si>
  <si>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</si>
  <si>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</si>
  <si>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</si>
  <si>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</si>
  <si>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</si>
  <si>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</si>
  <si>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</si>
  <si>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</si>
  <si>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</si>
  <si>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</si>
  <si>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</si>
  <si>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</si>
  <si>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</si>
  <si>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</si>
  <si>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</si>
  <si>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</si>
  <si>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</si>
  <si>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</si>
  <si>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</si>
  <si>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</si>
  <si>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</si>
  <si>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</si>
  <si>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</si>
  <si>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</si>
  <si>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</si>
  <si>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</si>
  <si>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</si>
  <si>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</si>
  <si>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</si>
  <si>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</si>
  <si>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</si>
  <si>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</si>
  <si>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</si>
  <si>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</si>
  <si>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</si>
  <si>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</si>
  <si>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</si>
  <si>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</si>
  <si>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</si>
  <si>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</si>
  <si>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</si>
  <si>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</si>
  <si>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</si>
  <si>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</si>
  <si>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</si>
  <si>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</si>
  <si>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</si>
  <si>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</si>
  <si>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</si>
  <si>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</si>
  <si>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</si>
  <si>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</si>
  <si>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</si>
  <si>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</si>
  <si>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</si>
  <si>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</si>
  <si>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</si>
  <si>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</si>
  <si>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</si>
  <si>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</si>
  <si>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</si>
  <si>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</si>
  <si>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</si>
  <si>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</si>
  <si>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</si>
  <si>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</si>
  <si>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</si>
  <si>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</si>
  <si>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</si>
  <si>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</si>
  <si>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</si>
  <si>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</si>
  <si>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</si>
  <si>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</si>
  <si>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</si>
  <si>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</si>
  <si>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</si>
  <si>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</si>
  <si>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</si>
  <si>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</si>
  <si>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</si>
  <si>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</si>
  <si>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</si>
  <si>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</si>
  <si>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</si>
  <si>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</si>
  <si>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</si>
  <si>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</si>
  <si>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</si>
  <si>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</si>
  <si>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</si>
  <si>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</si>
  <si>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</si>
  <si>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</si>
  <si>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</si>
  <si>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</si>
  <si>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</si>
  <si>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</si>
  <si>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</si>
  <si>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</si>
  <si>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</si>
  <si>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</si>
  <si>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</si>
  <si>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</si>
  <si>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</si>
  <si>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</si>
  <si>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</si>
  <si>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</si>
  <si>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</si>
  <si>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</si>
  <si>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</si>
  <si>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</si>
  <si>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</si>
  <si>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</si>
  <si>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</si>
  <si>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</si>
  <si>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</si>
  <si>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</si>
  <si>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</si>
  <si>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</si>
  <si>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</si>
  <si>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</si>
  <si>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</si>
  <si>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</si>
  <si>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</si>
  <si>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</si>
  <si>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</si>
  <si>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</si>
  <si>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</si>
  <si>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</si>
  <si>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</si>
  <si>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</si>
  <si>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</si>
  <si>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</si>
  <si>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</si>
  <si>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</si>
  <si>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</si>
  <si>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</si>
  <si>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</si>
  <si>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</si>
  <si>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</si>
  <si>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</si>
  <si>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</si>
  <si>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</si>
  <si>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</si>
  <si>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</si>
  <si>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</si>
  <si>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</si>
  <si>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</si>
  <si>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</si>
  <si>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</si>
  <si>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</si>
  <si>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</si>
  <si>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</si>
  <si>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</si>
  <si>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</si>
  <si>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</si>
  <si>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</si>
  <si>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</si>
  <si>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</si>
  <si>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</si>
  <si>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</si>
  <si>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</si>
  <si>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</si>
  <si>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</si>
  <si>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</si>
  <si>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</si>
  <si>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</si>
  <si>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</si>
  <si>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</si>
  <si>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</si>
  <si>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</si>
  <si>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</si>
  <si>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</si>
  <si>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</si>
  <si>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</si>
  <si>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</si>
  <si>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</si>
  <si>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</si>
  <si>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</si>
  <si>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</si>
  <si>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</si>
  <si>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</si>
  <si>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</si>
  <si>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</si>
  <si>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</si>
  <si>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</si>
  <si>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</si>
  <si>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</si>
  <si>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</si>
  <si>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</si>
  <si>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</si>
  <si>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</si>
  <si>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</si>
  <si>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</si>
  <si>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</si>
  <si>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</si>
  <si>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</si>
  <si>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</si>
  <si>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</si>
  <si>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</si>
  <si>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</si>
  <si>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</si>
  <si>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</si>
  <si>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</si>
  <si>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</si>
  <si>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</si>
  <si>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</si>
  <si>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</si>
  <si>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</si>
  <si>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</si>
  <si>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</si>
  <si>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</si>
  <si>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</si>
  <si>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</si>
  <si>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</si>
  <si>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</si>
  <si>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</si>
  <si>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</si>
  <si>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</si>
  <si>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</si>
  <si>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</si>
  <si>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</si>
  <si>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</si>
  <si>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</si>
  <si>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</si>
  <si>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</si>
  <si>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</si>
  <si>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</si>
  <si>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</si>
  <si>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</si>
  <si>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</si>
  <si>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</si>
  <si>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</si>
  <si>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</si>
  <si>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</si>
  <si>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</si>
  <si>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</si>
  <si>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</si>
  <si>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</si>
  <si>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</si>
  <si>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</si>
  <si>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</si>
  <si>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</si>
  <si>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</si>
  <si>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</si>
  <si>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</si>
  <si>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</si>
  <si>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</si>
  <si>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</si>
  <si>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</si>
  <si>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</si>
  <si>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</si>
  <si>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</si>
  <si>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</si>
  <si>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</si>
  <si>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</si>
  <si>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</si>
  <si>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</si>
  <si>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</si>
  <si>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</si>
  <si>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</si>
  <si>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</si>
  <si>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</si>
  <si>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</si>
  <si>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</si>
  <si>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</si>
  <si>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</si>
  <si>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</si>
  <si>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</si>
  <si>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</si>
  <si>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</si>
  <si>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</si>
  <si>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</si>
  <si>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</si>
  <si>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</si>
  <si>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</si>
  <si>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</si>
  <si>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</si>
  <si>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</si>
  <si>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</si>
  <si>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</si>
  <si>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</si>
  <si>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</si>
  <si>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</si>
  <si>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</si>
  <si>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</si>
  <si>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</si>
  <si>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</si>
  <si>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</si>
  <si>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</si>
  <si>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</si>
  <si>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</si>
  <si>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</si>
  <si>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</si>
  <si>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</si>
  <si>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</si>
  <si>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</si>
  <si>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</si>
  <si>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</si>
  <si>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</si>
  <si>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</si>
  <si>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</si>
  <si>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</si>
  <si>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</si>
  <si>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</si>
  <si>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</si>
  <si>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</si>
  <si>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</si>
  <si>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</si>
  <si>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</si>
  <si>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</si>
  <si>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</si>
  <si>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</si>
  <si>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</si>
  <si>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</si>
  <si>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</si>
  <si>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</si>
  <si>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</si>
  <si>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</si>
  <si>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</si>
  <si>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</si>
  <si>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</si>
  <si>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</si>
  <si>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</si>
  <si>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</si>
  <si>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</si>
  <si>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</si>
  <si>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</si>
  <si>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</si>
  <si>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</si>
  <si>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</si>
  <si>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</si>
  <si>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</si>
  <si>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</si>
  <si>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</si>
  <si>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</si>
  <si>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</si>
  <si>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</si>
  <si>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</si>
  <si>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</si>
  <si>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</si>
  <si>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</si>
  <si>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</si>
  <si>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</si>
  <si>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</si>
  <si>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</si>
  <si>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</si>
  <si>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</si>
  <si>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</si>
  <si>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</si>
  <si>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</si>
  <si>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</si>
  <si>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</si>
  <si>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</si>
  <si>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</si>
  <si>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</si>
  <si>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</si>
  <si>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</si>
  <si>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</si>
  <si>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</si>
  <si>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</si>
  <si>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</si>
  <si>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</si>
  <si>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</si>
  <si>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</si>
  <si>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</si>
  <si>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</si>
  <si>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</si>
  <si>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</si>
  <si>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</si>
  <si>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</si>
  <si>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</si>
  <si>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</si>
  <si>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</si>
  <si>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</si>
  <si>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</si>
  <si>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</si>
  <si>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</si>
  <si>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</si>
  <si>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</si>
  <si>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</si>
  <si>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</si>
  <si>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</si>
  <si>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</si>
  <si>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</si>
  <si>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</si>
  <si>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</si>
  <si>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</si>
  <si>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</si>
  <si>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</si>
  <si>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</si>
  <si>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</si>
  <si>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</si>
  <si>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</si>
  <si>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</si>
  <si>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</si>
  <si>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</si>
  <si>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</si>
  <si>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</si>
  <si>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</si>
  <si>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</si>
  <si>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</si>
  <si>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</si>
  <si>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</si>
  <si>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</si>
  <si>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</si>
  <si>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</si>
  <si>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</si>
  <si>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</si>
  <si>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</si>
  <si>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</si>
  <si>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</si>
  <si>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</si>
  <si>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</si>
  <si>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</si>
  <si>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</si>
  <si>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</si>
  <si>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</si>
  <si>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</si>
  <si>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</si>
  <si>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</si>
  <si>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</si>
  <si>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</si>
  <si>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</si>
  <si>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</si>
  <si>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</si>
  <si>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</si>
  <si>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</si>
  <si>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</si>
  <si>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</si>
  <si>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</si>
  <si>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</si>
  <si>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</si>
  <si>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</si>
  <si>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</si>
  <si>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</si>
  <si>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</si>
  <si>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</si>
  <si>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</si>
  <si>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</si>
  <si>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</si>
  <si>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</si>
  <si>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</si>
  <si>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</si>
  <si>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</si>
  <si>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</si>
  <si>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</si>
  <si>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</si>
  <si>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</si>
  <si>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</si>
  <si>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</si>
  <si>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</si>
  <si>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</si>
  <si>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</si>
  <si>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</si>
  <si>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</si>
  <si>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</si>
  <si>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</si>
  <si>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</si>
  <si>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</si>
  <si>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</si>
  <si>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</si>
  <si>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</si>
  <si>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</si>
  <si>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</si>
  <si>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</si>
  <si>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</si>
  <si>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</si>
  <si>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</si>
  <si>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</si>
  <si>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</si>
  <si>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</si>
  <si>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</si>
  <si>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</si>
  <si>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</si>
  <si>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</si>
  <si>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</si>
  <si>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</si>
  <si>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</si>
  <si>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</si>
  <si>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</si>
  <si>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</si>
  <si>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</si>
  <si>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</si>
  <si>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</si>
  <si>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</si>
  <si>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</si>
  <si>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</si>
  <si>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</si>
  <si>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</si>
  <si>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</si>
  <si>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</si>
  <si>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</si>
  <si>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</si>
  <si>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</si>
  <si>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</si>
  <si>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</si>
  <si>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</si>
  <si>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</si>
  <si>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</si>
  <si>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</si>
  <si>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</si>
  <si>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</si>
  <si>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</si>
  <si>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</si>
  <si>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</si>
  <si>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</si>
  <si>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</si>
  <si>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</si>
  <si>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</si>
  <si>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</si>
  <si>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</si>
  <si>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</si>
  <si>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</si>
  <si>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</si>
  <si>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</si>
  <si>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</si>
  <si>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</si>
  <si>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</si>
  <si>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</si>
  <si>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</si>
  <si>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</si>
  <si>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</si>
  <si>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</si>
  <si>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</si>
  <si>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</si>
  <si>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</si>
  <si>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</si>
  <si>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</si>
  <si>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</si>
  <si>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</si>
  <si>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</si>
  <si>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</si>
  <si>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</si>
  <si>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</si>
  <si>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</si>
  <si>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</si>
  <si>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</si>
  <si>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</si>
  <si>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</si>
  <si>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</si>
  <si>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</si>
  <si>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</si>
  <si>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</si>
  <si>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</si>
  <si>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</si>
  <si>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</si>
  <si>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</si>
  <si>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</si>
  <si>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</si>
  <si>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</si>
  <si>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</si>
  <si>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</si>
  <si>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</si>
  <si>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</si>
  <si>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</si>
  <si>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</si>
  <si>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</si>
  <si>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</si>
  <si>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</si>
  <si>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</si>
  <si>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</si>
  <si>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</si>
  <si>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</si>
  <si>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</si>
  <si>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</si>
  <si>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</si>
  <si>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</si>
  <si>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</si>
  <si>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</si>
  <si>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</si>
  <si>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</si>
  <si>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</si>
  <si>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</si>
  <si>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</si>
  <si>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</si>
  <si>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</si>
  <si>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</si>
  <si>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</si>
  <si>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</si>
  <si>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</si>
  <si>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</si>
  <si>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</si>
  <si>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</si>
  <si>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</si>
  <si>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</si>
  <si>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</si>
  <si>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</si>
  <si>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</si>
  <si>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</si>
  <si>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</si>
  <si>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</si>
  <si>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</si>
  <si>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</si>
  <si>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</si>
  <si>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</si>
  <si>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</si>
  <si>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</si>
  <si>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</si>
  <si>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</si>
  <si>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</si>
  <si>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</si>
  <si>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</si>
  <si>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</si>
  <si>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</si>
  <si>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</si>
  <si>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</si>
  <si>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</si>
  <si>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</si>
  <si>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</si>
  <si>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</si>
  <si>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</si>
  <si>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</si>
  <si>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</si>
  <si>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</si>
  <si>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</si>
  <si>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</si>
  <si>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</si>
  <si>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</si>
  <si>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</si>
  <si>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</si>
  <si>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</si>
  <si>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</si>
  <si>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</si>
  <si>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</si>
  <si>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</si>
  <si>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</si>
  <si>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</si>
  <si>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</si>
  <si>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</si>
  <si>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</si>
  <si>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</si>
  <si>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</si>
  <si>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</si>
  <si>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</si>
  <si>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</si>
  <si>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</si>
  <si>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</si>
  <si>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</si>
  <si>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</si>
  <si>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</si>
  <si>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</si>
  <si>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</si>
  <si>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</si>
  <si>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</si>
  <si>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</si>
  <si>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</si>
  <si>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</si>
  <si>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</si>
  <si>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</si>
  <si>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</si>
  <si>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</si>
  <si>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</si>
  <si>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</si>
  <si>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</si>
  <si>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</si>
  <si>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</si>
  <si>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</si>
  <si>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</si>
  <si>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</si>
  <si>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</si>
  <si>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</si>
  <si>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</si>
  <si>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</si>
  <si>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</si>
  <si>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</si>
  <si>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</si>
  <si>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</si>
  <si>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</si>
  <si>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</si>
  <si>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</si>
  <si>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</si>
  <si>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</si>
  <si>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</si>
  <si>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</si>
  <si>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</si>
  <si>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</si>
  <si>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</si>
  <si>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</si>
  <si>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</si>
  <si>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</si>
  <si>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</si>
  <si>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</si>
  <si>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</si>
  <si>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</si>
  <si>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</si>
  <si>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</si>
  <si>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</si>
  <si>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</si>
  <si>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</si>
  <si>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</si>
  <si>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</si>
  <si>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</si>
  <si>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</si>
  <si>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</si>
  <si>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</si>
  <si>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</si>
  <si>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</si>
  <si>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</si>
  <si>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</si>
  <si>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</si>
  <si>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</si>
  <si>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</si>
  <si>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</si>
  <si>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</si>
  <si>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</si>
  <si>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</si>
  <si>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</si>
  <si>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</si>
  <si>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</si>
  <si>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</si>
  <si>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</si>
  <si>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</si>
  <si>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</si>
  <si>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</si>
  <si>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</si>
  <si>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</si>
  <si>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</si>
  <si>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</si>
  <si>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</si>
  <si>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</si>
  <si>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</si>
  <si>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</si>
  <si>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</si>
  <si>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</si>
  <si>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</si>
  <si>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</si>
  <si>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</si>
  <si>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</si>
  <si>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</si>
  <si>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</si>
  <si>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</si>
  <si>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</si>
  <si>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</si>
  <si>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</si>
  <si>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</si>
  <si>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</si>
  <si>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</si>
  <si>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</si>
  <si>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</si>
  <si>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</si>
  <si>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</si>
  <si>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</si>
  <si>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</si>
  <si>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</si>
  <si>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</si>
  <si>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</si>
  <si>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</si>
  <si>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</si>
  <si>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</si>
  <si>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</si>
  <si>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</si>
  <si>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</si>
  <si>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</si>
  <si>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</si>
  <si>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</si>
  <si>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</si>
  <si>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</si>
  <si>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</si>
  <si>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</si>
  <si>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</si>
  <si>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</si>
  <si>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</si>
  <si>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</si>
  <si>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</si>
  <si>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</si>
  <si>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</si>
  <si>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</si>
  <si>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</si>
  <si>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</si>
  <si>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</si>
  <si>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</si>
  <si>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</si>
  <si>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</si>
  <si>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</si>
  <si>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</si>
  <si>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</si>
  <si>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</si>
  <si>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</si>
  <si>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</si>
  <si>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</si>
  <si>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</si>
  <si>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</si>
  <si>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</si>
  <si>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</si>
  <si>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</si>
  <si>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</si>
  <si>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</si>
  <si>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</si>
  <si>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</si>
  <si>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</si>
  <si>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</si>
  <si>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</si>
  <si>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</si>
  <si>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</si>
  <si>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</si>
  <si>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</si>
  <si>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</si>
  <si>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</si>
  <si>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</si>
  <si>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</si>
  <si>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</si>
  <si>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</si>
  <si>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</si>
  <si>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</si>
  <si>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</si>
  <si>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</si>
  <si>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</si>
  <si>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</si>
  <si>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</si>
  <si>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</si>
  <si>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</si>
  <si>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</si>
  <si>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</si>
  <si>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</si>
  <si>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</si>
  <si>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</si>
  <si>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</si>
  <si>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</si>
  <si>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</si>
  <si>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</si>
  <si>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</si>
  <si>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</si>
  <si>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</si>
  <si>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</si>
  <si>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</si>
  <si>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</si>
  <si>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</si>
  <si>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</si>
  <si>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</si>
  <si>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</si>
  <si>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</si>
  <si>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</si>
  <si>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</si>
  <si>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</si>
  <si>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</si>
  <si>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</si>
  <si>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</si>
  <si>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</si>
  <si>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</si>
  <si>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</si>
  <si>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</si>
  <si>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</si>
  <si>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</si>
  <si>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</si>
  <si>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</si>
  <si>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</si>
  <si>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</si>
  <si>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</si>
  <si>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</si>
  <si>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</si>
  <si>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</si>
  <si>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</si>
  <si>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</si>
  <si>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</si>
  <si>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</si>
  <si>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</si>
  <si>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</si>
  <si>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</si>
  <si>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</si>
  <si>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</si>
  <si>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</si>
  <si>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</si>
  <si>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</si>
  <si>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</si>
  <si>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</si>
  <si>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</si>
  <si>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</si>
  <si>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</si>
  <si>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</si>
  <si>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</si>
  <si>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</si>
  <si>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</si>
  <si>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</si>
  <si>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</si>
  <si>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</si>
  <si>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</si>
  <si>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</si>
  <si>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</si>
  <si>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</si>
  <si>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</si>
  <si>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</si>
  <si>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</si>
  <si>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</si>
  <si>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</si>
  <si>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</si>
  <si>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</si>
  <si>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</si>
  <si>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</si>
  <si>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</si>
  <si>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</si>
  <si>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</si>
  <si>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</si>
  <si>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</si>
  <si>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</si>
  <si>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</si>
  <si>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</si>
  <si>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</si>
  <si>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</si>
  <si>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</si>
  <si>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</si>
  <si>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</si>
  <si>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</si>
  <si>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</si>
  <si>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</si>
  <si>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</si>
  <si>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</si>
  <si>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</si>
  <si>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</si>
  <si>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</si>
  <si>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</si>
  <si>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</si>
  <si>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</si>
  <si>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</si>
  <si>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</si>
  <si>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</si>
  <si>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</si>
  <si>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</si>
  <si>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</si>
  <si>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</si>
  <si>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</si>
  <si>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</si>
  <si>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</si>
  <si>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</si>
  <si>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</si>
  <si>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</si>
  <si>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</si>
  <si>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</si>
  <si>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</si>
  <si>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</si>
  <si>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</si>
  <si>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</si>
  <si>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</si>
  <si>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</si>
  <si>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</si>
  <si>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</si>
  <si>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</si>
  <si>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</si>
  <si>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</si>
  <si>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</si>
  <si>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</si>
  <si>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</si>
  <si>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</si>
  <si>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</si>
  <si>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</si>
  <si>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</si>
  <si>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</si>
  <si>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</si>
  <si>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</si>
  <si>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</si>
  <si>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</si>
  <si>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</si>
  <si>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</si>
  <si>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</si>
  <si>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</si>
  <si>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</si>
  <si>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</si>
  <si>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</si>
  <si>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</si>
  <si>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</si>
  <si>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</si>
  <si>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</si>
  <si>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</si>
  <si>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</si>
  <si>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</si>
  <si>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</si>
  <si>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</si>
  <si>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</si>
  <si>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</si>
  <si>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</si>
  <si>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</si>
  <si>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</si>
  <si>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</si>
  <si>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</si>
  <si>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</si>
  <si>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</si>
  <si>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</si>
  <si>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</si>
  <si>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</si>
  <si>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</si>
  <si>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</si>
  <si>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</si>
  <si>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</si>
  <si>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</si>
  <si>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</si>
  <si>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</si>
  <si>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</si>
  <si>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</si>
  <si>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</si>
  <si>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</si>
  <si>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</si>
  <si>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</si>
  <si>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</si>
  <si>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</si>
  <si>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</si>
  <si>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</si>
  <si>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</si>
  <si>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</si>
  <si>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</si>
  <si>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</si>
  <si>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</si>
  <si>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</si>
  <si>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</si>
  <si>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</si>
  <si>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</si>
  <si>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</si>
  <si>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</si>
  <si>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</si>
  <si>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</si>
  <si>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</si>
  <si>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</si>
  <si>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</si>
  <si>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</si>
  <si>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</si>
  <si>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</si>
  <si>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</si>
  <si>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</si>
  <si>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</si>
  <si>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</si>
  <si>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</si>
  <si>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</si>
  <si>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</si>
  <si>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</si>
  <si>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</si>
  <si>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</si>
  <si>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</si>
  <si>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</si>
  <si>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</si>
  <si>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</si>
  <si>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</si>
  <si>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</si>
  <si>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</si>
  <si>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</si>
  <si>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</si>
  <si>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</si>
  <si>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</si>
  <si>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</si>
  <si>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</si>
  <si>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</si>
  <si>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</si>
  <si>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</si>
  <si>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</si>
  <si>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</si>
  <si>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</si>
  <si>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</si>
  <si>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</si>
  <si>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</si>
  <si>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</si>
  <si>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</si>
  <si>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</si>
  <si>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</si>
  <si>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</si>
  <si>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</si>
  <si>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</si>
  <si>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</si>
  <si>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</si>
  <si>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</si>
  <si>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</si>
  <si>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</si>
  <si>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</si>
  <si>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</si>
  <si>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</si>
  <si>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</si>
  <si>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</si>
  <si>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</si>
  <si>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</si>
  <si>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</si>
  <si>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</si>
  <si>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</si>
  <si>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</si>
  <si>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</si>
  <si>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</si>
  <si>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</si>
  <si>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</si>
  <si>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</si>
  <si>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</si>
  <si>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</si>
  <si>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</si>
  <si>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</si>
  <si>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</si>
  <si>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</si>
  <si>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</si>
  <si>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</si>
  <si>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</si>
  <si>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</si>
  <si>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</si>
  <si>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</si>
  <si>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</si>
  <si>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</si>
  <si>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</si>
  <si>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</si>
  <si>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</si>
  <si>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</si>
  <si>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</si>
  <si>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</si>
  <si>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</si>
  <si>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</si>
  <si>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</si>
  <si>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</si>
  <si>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</si>
  <si>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</si>
  <si>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</si>
  <si>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</si>
  <si>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</si>
  <si>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</si>
  <si>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</si>
  <si>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</si>
  <si>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</si>
  <si>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</si>
  <si>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</si>
  <si>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</si>
  <si>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</si>
  <si>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</si>
  <si>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</si>
  <si>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</si>
  <si>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</si>
  <si>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</si>
  <si>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</si>
  <si>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</si>
  <si>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</si>
  <si>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</si>
  <si>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</si>
  <si>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</si>
  <si>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</si>
  <si>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</si>
  <si>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</si>
  <si>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</si>
  <si>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</si>
  <si>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</si>
  <si>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</si>
  <si>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</si>
  <si>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</si>
  <si>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</si>
  <si>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</si>
  <si>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</si>
  <si>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</si>
  <si>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</si>
  <si>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</si>
  <si>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</si>
  <si>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</si>
  <si>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</si>
  <si>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</si>
  <si>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</si>
  <si>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</si>
  <si>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</si>
  <si>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</si>
  <si>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</si>
  <si>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</si>
  <si>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</si>
  <si>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</si>
  <si>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</si>
  <si>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</si>
  <si>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</si>
  <si>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</si>
  <si>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</si>
  <si>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</si>
  <si>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</si>
  <si>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</si>
  <si>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</si>
  <si>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</si>
  <si>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</si>
  <si>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</si>
  <si>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</si>
  <si>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</si>
  <si>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</si>
  <si>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</si>
  <si>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</si>
  <si>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</si>
  <si>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</si>
  <si>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</si>
  <si>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</si>
  <si>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</si>
  <si>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</si>
  <si>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</si>
  <si>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</si>
  <si>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</si>
  <si>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</si>
  <si>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</si>
  <si>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</si>
  <si>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</si>
  <si>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</si>
  <si>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</si>
  <si>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</si>
  <si>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</si>
  <si>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</si>
  <si>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</si>
  <si>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</si>
  <si>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</si>
  <si>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</si>
  <si>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</si>
  <si>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</si>
  <si>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</si>
  <si>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</si>
  <si>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</si>
  <si>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</si>
  <si>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</si>
  <si>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</si>
  <si>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</si>
  <si>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</si>
  <si>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</si>
  <si>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</si>
  <si>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</si>
  <si>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</si>
  <si>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</si>
  <si>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</si>
  <si>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</si>
  <si>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</si>
  <si>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</si>
  <si>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</si>
  <si>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</si>
  <si>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</si>
  <si>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</si>
  <si>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</si>
  <si>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</si>
  <si>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</si>
  <si>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</si>
  <si>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</si>
  <si>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</si>
  <si>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</si>
  <si>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</si>
  <si>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</si>
  <si>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</si>
  <si>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</si>
  <si>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</si>
  <si>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</si>
  <si>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</si>
  <si>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</si>
  <si>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</si>
  <si>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</si>
  <si>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</si>
  <si>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</si>
  <si>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</si>
  <si>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</si>
  <si>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</si>
  <si>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</si>
  <si>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</si>
  <si>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</si>
  <si>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</si>
  <si>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</si>
  <si>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</si>
  <si>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</si>
  <si>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</si>
  <si>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</si>
  <si>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</si>
  <si>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</si>
  <si>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</si>
  <si>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</si>
  <si>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</si>
  <si>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</si>
  <si>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</si>
  <si>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</si>
  <si>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</si>
  <si>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</si>
  <si>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</si>
  <si>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</si>
  <si>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</si>
  <si>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</si>
  <si>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</si>
  <si>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</si>
  <si>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</si>
  <si>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</si>
  <si>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</si>
  <si>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</si>
  <si>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</si>
  <si>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</si>
  <si>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</si>
  <si>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</si>
  <si>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</si>
  <si>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</si>
  <si>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</si>
  <si>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</si>
  <si>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</si>
  <si>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</si>
  <si>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</si>
  <si>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</si>
  <si>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</si>
  <si>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</si>
  <si>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</si>
  <si>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</si>
  <si>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</si>
  <si>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</si>
  <si>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</si>
  <si>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</si>
  <si>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</si>
  <si>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</si>
  <si>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</si>
  <si>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</si>
  <si>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</si>
  <si>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</si>
  <si>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</si>
  <si>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</si>
  <si>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</si>
  <si>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</si>
  <si>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</si>
  <si>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</si>
  <si>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</si>
  <si>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</si>
  <si>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</si>
  <si>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</si>
  <si>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</si>
  <si>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</si>
  <si>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</si>
  <si>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</si>
  <si>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</si>
  <si>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</si>
  <si>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</si>
  <si>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</si>
  <si>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</si>
  <si>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</si>
  <si>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</si>
  <si>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</si>
  <si>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</si>
  <si>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</si>
  <si>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</si>
  <si>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</si>
  <si>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</si>
  <si>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</si>
  <si>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</si>
  <si>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</si>
  <si>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</si>
  <si>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</si>
  <si>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</si>
  <si>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</si>
  <si>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</si>
  <si>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</si>
  <si>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</si>
  <si>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</si>
  <si>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</si>
  <si>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</si>
  <si>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</si>
  <si>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</si>
  <si>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</si>
  <si>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</si>
  <si>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</si>
  <si>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</si>
  <si>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</si>
  <si>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</si>
  <si>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</si>
  <si>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</si>
  <si>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</si>
  <si>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</si>
  <si>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</si>
  <si>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</si>
  <si>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</si>
  <si>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</si>
  <si>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</si>
  <si>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</si>
  <si>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</si>
  <si>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</si>
  <si>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</si>
  <si>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</si>
  <si>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</si>
  <si>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</si>
  <si>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</si>
  <si>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</si>
  <si>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</si>
  <si>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</si>
  <si>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</si>
  <si>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</si>
  <si>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</si>
  <si>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</si>
  <si>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</si>
  <si>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</si>
  <si>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</si>
  <si>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</si>
  <si>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</si>
  <si>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</si>
  <si>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</si>
  <si>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</si>
  <si>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</si>
  <si>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</si>
  <si>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</si>
  <si>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</si>
  <si>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</si>
  <si>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</si>
  <si>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</si>
  <si>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</si>
  <si>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</si>
  <si>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</si>
  <si>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</si>
  <si>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</si>
  <si>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</si>
  <si>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</si>
  <si>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</si>
  <si>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</si>
  <si>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</si>
  <si>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</si>
  <si>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</si>
  <si>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</si>
  <si>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</si>
  <si>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</si>
  <si>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</si>
  <si>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</si>
  <si>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</si>
  <si>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</si>
  <si>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</si>
  <si>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</si>
  <si>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</si>
  <si>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</si>
  <si>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</si>
  <si>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</si>
  <si>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</si>
  <si>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</si>
  <si>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</si>
  <si>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</si>
  <si>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</si>
  <si>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</si>
  <si>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</si>
  <si>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</si>
  <si>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</si>
  <si>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</si>
  <si>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</si>
  <si>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</si>
  <si>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</si>
  <si>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</si>
  <si>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</si>
  <si>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</si>
  <si>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</si>
  <si>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</si>
  <si>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</si>
  <si>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</si>
  <si>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</si>
  <si>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</si>
  <si>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</si>
  <si>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</si>
  <si>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</si>
  <si>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</si>
  <si>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</si>
  <si>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</si>
  <si>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</si>
  <si>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</si>
  <si>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</si>
  <si>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</si>
  <si>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</si>
  <si>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</si>
  <si>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</si>
  <si>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</si>
  <si>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</si>
  <si>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</si>
  <si>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</si>
  <si>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</si>
  <si>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</si>
  <si>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</si>
  <si>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</si>
  <si>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</si>
  <si>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</si>
  <si>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</si>
  <si>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</si>
  <si>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</si>
  <si>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</si>
  <si>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</si>
  <si>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</si>
  <si>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</si>
  <si>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</si>
  <si>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</si>
  <si>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</si>
  <si>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</si>
  <si>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</si>
  <si>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</si>
  <si>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</si>
  <si>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</si>
  <si>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</si>
  <si>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</si>
  <si>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</si>
  <si>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</si>
  <si>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</si>
  <si>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</si>
  <si>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</si>
  <si>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</si>
  <si>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</si>
  <si>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</si>
  <si>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</si>
  <si>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</si>
  <si>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</si>
  <si>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</si>
  <si>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</si>
  <si>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</si>
  <si>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</si>
  <si>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</si>
  <si>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</si>
  <si>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</si>
  <si>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</si>
  <si>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</si>
  <si>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</si>
  <si>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</si>
  <si>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</si>
  <si>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</si>
  <si>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</si>
  <si>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</si>
  <si>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</si>
  <si>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</si>
  <si>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</si>
  <si>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</si>
  <si>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</si>
  <si>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</si>
  <si>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</si>
  <si>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</si>
  <si>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</si>
  <si>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</si>
  <si>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</si>
  <si>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</si>
  <si>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</si>
  <si>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</si>
  <si>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</si>
  <si>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</si>
  <si>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</si>
  <si>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</si>
  <si>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</si>
  <si>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</si>
  <si>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</si>
  <si>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</si>
  <si>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</si>
  <si>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</si>
  <si>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</si>
  <si>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</si>
  <si>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</si>
  <si>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</si>
  <si>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</si>
  <si>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</si>
  <si>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</si>
  <si>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</si>
  <si>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</si>
  <si>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</si>
  <si>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</si>
  <si>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</si>
  <si>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</si>
  <si>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</si>
  <si>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</si>
  <si>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</si>
  <si>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</si>
  <si>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</si>
  <si>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</si>
  <si>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</si>
  <si>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</si>
  <si>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</si>
  <si>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</si>
  <si>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</si>
  <si>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Programa</t>
  </si>
  <si>
    <t>Avances y Logros</t>
  </si>
  <si>
    <t>Beneficios</t>
  </si>
  <si>
    <t>Total Vigencia</t>
  </si>
  <si>
    <t>Retrasos y soluciones</t>
  </si>
  <si>
    <t>Fecha de seguimiento</t>
  </si>
  <si>
    <t>IDU</t>
  </si>
  <si>
    <t>UAERMV</t>
  </si>
  <si>
    <t>Transporte Público</t>
  </si>
  <si>
    <t xml:space="preserve">Infraestructura Vial </t>
  </si>
  <si>
    <t>Plan de Seguridad Vial</t>
  </si>
  <si>
    <t xml:space="preserve">Componente </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</si>
  <si>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</si>
  <si>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</si>
  <si>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</si>
  <si>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</si>
  <si>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</si>
  <si>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</si>
  <si>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</si>
  <si>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</si>
  <si>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</si>
  <si>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</si>
  <si>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</si>
  <si>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</si>
  <si>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</si>
  <si>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</si>
  <si>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</si>
  <si>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</si>
  <si>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</si>
  <si>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</si>
  <si>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</si>
  <si>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</si>
  <si>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</si>
  <si>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</si>
  <si>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</si>
  <si>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</si>
  <si>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</si>
  <si>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</si>
  <si>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</si>
  <si>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</si>
  <si>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</si>
  <si>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</si>
  <si>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</si>
  <si>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</si>
  <si>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</si>
  <si>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</si>
  <si>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PROCESO DE PLANEACIÓN DE TRANSPORTE E INFRAESTRUCTURA</t>
  </si>
  <si>
    <t>Código: PM01-PR05-F01</t>
  </si>
  <si>
    <t>SISTEMA INTEGRADO DE GESTIÓN BAJO EL ESTÁNDAR MIPG</t>
  </si>
  <si>
    <t>Pendiente</t>
  </si>
  <si>
    <t>Ejecutado 2020</t>
  </si>
  <si>
    <t>Meta Plan de Desarrollo</t>
  </si>
  <si>
    <t>Nombre y Código del Indicador Meta PDD</t>
  </si>
  <si>
    <t>2020-2024</t>
  </si>
  <si>
    <t>374  aumentar en 20% la oferta de tansporte público del SITP</t>
  </si>
  <si>
    <t>Buses/sillas del SITP</t>
  </si>
  <si>
    <t>401_Buses/sillas del SITP</t>
  </si>
  <si>
    <t>402_ Puntos poncentuales la confiabilidad del servicio del SITP</t>
  </si>
  <si>
    <t>375 aumentar en 4 puntos porcentuales la confiabilidad del servicio del SITP en sus componentes troncal y zonal</t>
  </si>
  <si>
    <t>377 Conservar 190 km de cicloinfraestructura</t>
  </si>
  <si>
    <t>404 kilometros de cicloruta conservados</t>
  </si>
  <si>
    <t xml:space="preserve">405  Kilómetros de malla vial </t>
  </si>
  <si>
    <t>378  Realizar actividades de conservación a 2308 km carril de malla vial</t>
  </si>
  <si>
    <t>Kilómentros de malla vial</t>
  </si>
  <si>
    <t>414 Estrategia implementada para la calidad del Transporte público urbano regional</t>
  </si>
  <si>
    <t>387  Formular e implementar una estrategia integral para mejorar la calidad del transporte público urbano regional</t>
  </si>
  <si>
    <t>423  Patios diseñados y contratada su construcción</t>
  </si>
  <si>
    <t>396  Diseñar y contratar la construcción de 6 patios troncales y zonales del SITP</t>
  </si>
  <si>
    <t>420 Estaciones mejoradas</t>
  </si>
  <si>
    <t>393  Mejoramiento de 43 estaciones del sistema Transmilenio</t>
  </si>
  <si>
    <t>Estaciones Mejoradas</t>
  </si>
  <si>
    <t>424 Ejecución de obras en kilómetros de corredores de transporte masivo</t>
  </si>
  <si>
    <t>397 Ejecutar las obras para la adecuación de 29,6 km de corredores de transporte masivo</t>
  </si>
  <si>
    <t>Kilómetros de corredores de transporte masivo</t>
  </si>
  <si>
    <t>Estrategia implementada</t>
  </si>
  <si>
    <t>425 Ejecución de obras en kilómetros de corredor verde de la carrera séptima</t>
  </si>
  <si>
    <t>398 Ejecutar las obras para la adecuación de 20 km del corredor verde de la carrera séptima</t>
  </si>
  <si>
    <t>Kilómetros del corredor verde de la cra séptima</t>
  </si>
  <si>
    <t>408 Kilometros de malla vial construidos</t>
  </si>
  <si>
    <t>381 Construir 280 km de cicloinfraestructura</t>
  </si>
  <si>
    <t>Kilómetros de  cicloruta consevados</t>
  </si>
  <si>
    <t>Kilómetros de  cicloruta construidos</t>
  </si>
  <si>
    <t>373 _1.Reducir en 20% el número de víctimas fatales por siniestros viales para cada uno de los actores viales de la vía
2. Reducir el 20% el número de jóvenes (entre  14 y 28 años) fallecidos por siniestros viales</t>
  </si>
  <si>
    <t>403 Cables aéreos implementados y estructruados  (se mide solo estructurados)</t>
  </si>
  <si>
    <t>376 Avanzar en un 60% en la construcción del cable aéreo de San Cristóbal y el 100% de la estructuración de otros 2 cables</t>
  </si>
  <si>
    <t>Cables aéreos</t>
  </si>
  <si>
    <t>Puentes vehículares</t>
  </si>
  <si>
    <t>421 Diseños y construcción de la estación central del sistema Transmilenio</t>
  </si>
  <si>
    <t>400 Numero de personas y jóvenes fallecidos por siniestros viales (porcentaje de reducción de fallecimientos por siniestros viales)</t>
  </si>
  <si>
    <t>383   Definir e implementar dos estrategias de cultura ciudadana para el sistema de movilidad, con enfoque diferencial, de género y territorial.</t>
  </si>
  <si>
    <t>410  Estrategias de cultura ciudadana implementadas</t>
  </si>
  <si>
    <t>Número de estrategias  implementadas</t>
  </si>
  <si>
    <t>Puntos poncentuales la confiabilidad del servicio del SITP</t>
  </si>
  <si>
    <t>380  Construir 146 km de malla vial. En esta construcción se contrará con un 35% de mano de obra de la localidad donde se ejecute el proyecto</t>
  </si>
  <si>
    <t>407 Kilómetros de malla vial</t>
  </si>
  <si>
    <t>kilómetros de malla vial</t>
  </si>
  <si>
    <t xml:space="preserve">409 Puentes vehículare (construir puentes vehículares o interseccionales a desnivel) </t>
  </si>
  <si>
    <t>382   Construir o reforzar 29 puentes vehículares e intersecciones a desnivel</t>
  </si>
  <si>
    <t>411  Instrumento implementado para la medición y seguimiento de la experiencia del usuario y del prestador del servicio de taxis</t>
  </si>
  <si>
    <t>384 Definir e implementar un instrumento para la medición y seguimiento de la experiencia del usuario y del prestador del servicio en el transporte público individual</t>
  </si>
  <si>
    <t>Instrumento de medición</t>
  </si>
  <si>
    <t>385  Diseñar, gestionar e implementar una estrategia para aumentar la ocupación promedio del vehículo</t>
  </si>
  <si>
    <t>412  Estrategia de aumento de ocupación de vehículos privados</t>
  </si>
  <si>
    <t>Estrategia de ocupación de vehículos privados implementada</t>
  </si>
  <si>
    <t>386 Disminuir en un 10% el tiempo promedio en minutos, de acceso al Transporte Público</t>
  </si>
  <si>
    <t>413 Tiempo promedio en minutos de acceso al Transporte Público (tiempo de caminata y tiempo de espera) para SITP provisional, Zonal y Troncal en la primera etapa para los hogares ubicados en Bogotá</t>
  </si>
  <si>
    <t>Tiempo promedio en minutos de acceso al Transporte público</t>
  </si>
  <si>
    <t>388 Implementar 5000 cupos de cicloparqueaderos</t>
  </si>
  <si>
    <t>415  Número de cupos de cicloparqueaderos</t>
  </si>
  <si>
    <t>Número de cupos de cicloparqueaderos</t>
  </si>
  <si>
    <t>389  Implementar y operar el Centro de Orientación de Víctimas por Siniestros Viales</t>
  </si>
  <si>
    <t>416  Centro de Orientación de víctimas por siniestros  viales implementados</t>
  </si>
  <si>
    <t>Porcentaje de reduccción de víctimas fatales por siniestros viales</t>
  </si>
  <si>
    <t>Centro de Orientación de Víctimas implementado</t>
  </si>
  <si>
    <t>390  Mantener el tiempo promedio de viaje en los 14 corredores principales de la ciudad para todos los usuarios de la vía</t>
  </si>
  <si>
    <t>417  Tiempo promedio de viaje en los 14 corredores principales de la ciudad</t>
  </si>
  <si>
    <t>Tiempo promedio de viaje</t>
  </si>
  <si>
    <t>392 Conservar 360km- carril de malla vial local</t>
  </si>
  <si>
    <t>419 kilómetros carril de malla vial troncal conservados</t>
  </si>
  <si>
    <t>Kilómetros carril de malla vial troncal conservados</t>
  </si>
  <si>
    <t>395 Mantenimiento del 100% de las estaciones del Sistema Transmilenio</t>
  </si>
  <si>
    <t>422 Estaciones mantenidas</t>
  </si>
  <si>
    <t>Estaciones Mantenidas</t>
  </si>
  <si>
    <t>399 Reducir en 2 puntos porcentuales la evasión en el SITP</t>
  </si>
  <si>
    <t>426 Reducir en 2 puntos porcentuales la evasi´pn en el componente troncal y zonal del SITP</t>
  </si>
  <si>
    <t>Reducción en 2 puntos  porcentuales la evasión en el SITP</t>
  </si>
  <si>
    <t xml:space="preserve">TMSA
</t>
  </si>
  <si>
    <t>METRO</t>
  </si>
  <si>
    <t>394  Diseñar y contratar la costrucción de la estación central de transmilenio</t>
  </si>
  <si>
    <t>Diseño y construcción de la estación central de TMSA</t>
  </si>
  <si>
    <t>Propósito</t>
  </si>
  <si>
    <t>49_  Movilidad segura, sostenible y accesible</t>
  </si>
  <si>
    <t xml:space="preserve">Transporte no motorizado </t>
  </si>
  <si>
    <t>Logística de Movilidad</t>
  </si>
  <si>
    <t>1_Subsidios y transferencias para la equidad</t>
  </si>
  <si>
    <t>1_Fuentes de  fondeo para el sector Movilidad</t>
  </si>
  <si>
    <t>1   Diseñar e implementar 4 fuentes de Fondeo para el SITP y el Sector Movilidad</t>
  </si>
  <si>
    <t>Fuentes de fondeo implementadas</t>
  </si>
  <si>
    <t>281_Viajes en bicicleta (porcentaje de viajes en bicicleta aumentado)</t>
  </si>
  <si>
    <t>35_Manejo y prevención de contaminación</t>
  </si>
  <si>
    <t>Viajes en bicicleta aumentados</t>
  </si>
  <si>
    <t>282_Vehículos de cero y bajas emisiones en el parque automotor de Bogotá, y puntos públicos de carga rápida</t>
  </si>
  <si>
    <t>264_Aumentar en 50% los viajes en bicicleta a través de la implementación de la política pública</t>
  </si>
  <si>
    <t>Vehículos de cero y bajas emisiones aumentados</t>
  </si>
  <si>
    <t>284_Porcentaje de implementación de la estrategia de fomento de la micromovilidad (esquema de transporte alternativo impulsado)</t>
  </si>
  <si>
    <t>267_Impulsar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</si>
  <si>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Esquema de transporte alternativo impulsado</t>
  </si>
  <si>
    <t>271_Reducir en el 10% como promedio ponderado ciudad, la concentración de material particulado PM10 y
PM2.5, mediante la implementación del Plan de Gestión Integral de Calidad de Aire (aporte de movilidad a
meta del sector ambiente)</t>
  </si>
  <si>
    <t>283_Porcentaje de avance en la implementación de un sistema de bicicletas públicas (sistema de bicicletas públicas implementado)</t>
  </si>
  <si>
    <t>Logistica de Movilidad</t>
  </si>
  <si>
    <t xml:space="preserve">49_Movilidad </t>
  </si>
  <si>
    <t>379_Consolidar y reforzar el programa de movilidad Niños y Niñas Primero con el fin de aumentar el número de
beneficiados y facilitar el acceso a la educación de niñas, niños y adolescentes</t>
  </si>
  <si>
    <t>Programa de movilidad de niños y niñas consolidado y reforzado</t>
  </si>
  <si>
    <t>406_Niños y niñas beneficiados con el programa</t>
  </si>
  <si>
    <t xml:space="preserve">IDU
</t>
  </si>
  <si>
    <t xml:space="preserve">
TMSA</t>
  </si>
  <si>
    <t>Actividades a cargo de TMSA adelantadas para ejecutar las obras para la adecuación de 29.6 km de corredores de transporte masivo
Actividades a cargo de TMSA adelantadas para ejecutar las obras para la adecuación de 20 Km del corredor verde de la carrera séptima</t>
  </si>
  <si>
    <t>Actividades a cargo de TMSA adelantadas para ejecutar las obras para la adecuación de 29.6 km de corredores de transporte masivo</t>
  </si>
  <si>
    <t xml:space="preserve">Patios diseñados </t>
  </si>
  <si>
    <t xml:space="preserve"> IDU</t>
  </si>
  <si>
    <t>Actividades a cargo de TMSA adelantadas para Diseñar y contratar la construcción de 6 patios troncales y zonales del SITP</t>
  </si>
  <si>
    <t>Actividades a cargo de TMSA adelantadas para el mejoramiento de 43 estaciones del sistema TransMilenio</t>
  </si>
  <si>
    <t>Actividades a cargo de TMSA adelantadas para diseñar y contratar la construcción de la estación central del Sistema TransMilenio</t>
  </si>
  <si>
    <t>Programas</t>
  </si>
  <si>
    <t>Propósitos</t>
  </si>
  <si>
    <t>1: Hacer un nuevo contrato social con igualdad de oportunidades para la inclusión social, productiva y política/  2: Cambiar nuestros hábitos de vida para reverdecer a Bogotá y adaptarnos y mitigar la crisis climática/ 4: Hacer de Bogotá Región un modelo de movilidad multimodal, incluyente y sostenible</t>
  </si>
  <si>
    <t>4_Hacer de Bogotá Región un modelo de movilidad multimodal, incluyente y sostenible</t>
  </si>
  <si>
    <t>1_Hacer un nuevo contrato social con igualdad de oportunidades para la inclusión social, productiva y política</t>
  </si>
  <si>
    <t>2_Cambiar nuestros hábitos de vida para reverdecer a Bogotá y adaptarnos y mitigar la crisis climática</t>
  </si>
  <si>
    <t>400_Alcanzar el 100% del proceso de contratación para la expansión de la PLMB-Fase 2</t>
  </si>
  <si>
    <t>50_Red de metros</t>
  </si>
  <si>
    <t>Proceso de contratación para la expansión de la PLMB-Fase 2 culminado</t>
  </si>
  <si>
    <t>Avance en el ciclo del proyecto PLMB-Tramo 1</t>
  </si>
  <si>
    <t>427_Proceso de contratación para la expansión de la PLMB - Fase 2 culminado</t>
  </si>
  <si>
    <t>428_Avance en el ciclo del proyecto PLMB - Tramo 1</t>
  </si>
  <si>
    <t>1: Subsidios y Transferencias para la equidad/  35: Manejo y prevención de la Contaminación/ 49:  Movilidad segura, sostenible y accesible/ 50: Red de Metros</t>
  </si>
  <si>
    <t>Transporte público</t>
  </si>
  <si>
    <t>Componentre ambiental</t>
  </si>
  <si>
    <t>Componente ambiental</t>
  </si>
  <si>
    <t>SDM- SDA (Entidad que reporta el avance)</t>
  </si>
  <si>
    <t>627_Acciones de seguimiento a la implementación del SITP</t>
  </si>
  <si>
    <t>Acciones de seguimiento a la implementación del SITP</t>
  </si>
  <si>
    <t>628_Acciones de seguimiento a los proyectos de infraestructura vial y equipamientos de transporte del sistema de movilidad</t>
  </si>
  <si>
    <t>Acciones de seguimiento a los proyectos de infraestructura vial y equipamientos de transporte del sistema de movilidad</t>
  </si>
  <si>
    <t>637_Construir el 60% de 1 cable aéreo</t>
  </si>
  <si>
    <t>Construir el 60% de 1 cable aéreo</t>
  </si>
  <si>
    <t>Reforzar puentes vehiculares</t>
  </si>
  <si>
    <t>639_Reforzar puentes vehiculares</t>
  </si>
  <si>
    <t>630_Actividades a cargo de TMSA adelantadas para Diseñar y contratar la construcción de 6 patios troncales y zonales del SITP</t>
  </si>
  <si>
    <t>640_Patios troncales y zonales del SITP con su construcción</t>
  </si>
  <si>
    <t>Patios troncales y zonales del SITP con su construcción</t>
  </si>
  <si>
    <t>SUma</t>
  </si>
  <si>
    <t>631_Actividades a cargo de TMSA adelantadas para ejecutar las obras para la adecuación de 29.6 km de corredores de transporte masivo</t>
  </si>
  <si>
    <t>632_Actividades a cargo de TMSA adelantadas para ejecutar las obras para la adecuación de 20 Km del corredor verde de la carrera séptima</t>
  </si>
  <si>
    <t>629 Porcentaje de avance anual en las actividades a cargo de TMSA para el mejoramiento de 43 estaciones del
sistema Transmilenio</t>
  </si>
  <si>
    <t>633 Porcentaje de avance anual en las actividades a cargo de TMSA para diseñar y contratar la construcción
de la estación central del Sistema Transmilenio</t>
  </si>
  <si>
    <t>651_Porcentaje de gasto en transporte público de hogares estrato 2</t>
  </si>
  <si>
    <t>Reducción del gasto en transporte público estrato1</t>
  </si>
  <si>
    <t>Reducción del gasto en transporte público estrato2</t>
  </si>
  <si>
    <t>401_Alcanzar el 60 % del ciclo de vida del proyecto PLMB - Tramo 1
LB 19,44</t>
  </si>
  <si>
    <t>265_Generar las condiciones para aumentar a 6.500 los vehículos de cero y bajas emisiones en el parque
automotor de Bogotá, incluyendo la implementación de 20 puntos públicos de carga rápida
LB 2.112</t>
  </si>
  <si>
    <t>Ejecutado 2021</t>
  </si>
  <si>
    <t>No presenta retrasos</t>
  </si>
  <si>
    <t>Número de puntos públicos de carga rápida implementados</t>
  </si>
  <si>
    <t>Porcentaje de avance en la implementación de un sistema de bicicletas públicas</t>
  </si>
  <si>
    <t>6_Reducir el gasto en transporte público de los hogares de mayor vulnerabilidad económica, con enfoque poblacional, diferencial y de género, para que represente el 15% de sus ingresos</t>
  </si>
  <si>
    <t>6_ Porcentaje de gasto en transporte público de hogares estrato 1</t>
  </si>
  <si>
    <t>642_Número de puntos públicos de carga rápida implementados</t>
  </si>
  <si>
    <t>Concentración promedio ponderado de ciudad de material particulado PM 10</t>
  </si>
  <si>
    <t>Concentración promedio ponderado de ciudad de material particulado PM 2,5</t>
  </si>
  <si>
    <t>682 - Porcentaje de avance en la ejecución física de la construcción del proyecto Avenida 68 alimentadora de la PLMB</t>
  </si>
  <si>
    <t>Porcentaje de ejecucion física ejecutado</t>
  </si>
  <si>
    <t>683 - Porcentaje de avance en la ejecución física del proyecto de la extension del tramo 1 de la troncal de Transmilenio por la Avenida Caracas</t>
  </si>
  <si>
    <t>684 -Porcentaje de avance en la ejecución física del proyecto de la troncal de Transmilenio por la Avenida Ciudad de Cali</t>
  </si>
  <si>
    <t>Porcentaje de avance en la estructuración, implementación y operación del estacionamiento en vía para la ciudad de Bogotá</t>
  </si>
  <si>
    <t>266_Gestionar la implementación de un sistema de bicicletas públicas</t>
  </si>
  <si>
    <t xml:space="preserve">Número de jóvenes fallecidos por siniestros viales en jóvenes entre 14 y 28 años
</t>
  </si>
  <si>
    <t>Porcentaje de estructuración del proyecto de la Avenida Centenario entre la Crrera 50 y el límite del Distrito, como parte del borde occidental</t>
  </si>
  <si>
    <t>677_Porcentaje de estructuración del proyecto de la Avenida Centenario entre la Crrera 50 y el límite del Distrito, como parte del borde occidental</t>
  </si>
  <si>
    <t>680 - Número de cupos de cicloparquederos gestionados en infraestructura pública</t>
  </si>
  <si>
    <t>Número de cupos de cicloparquederos gestionados en infraestructura pública</t>
  </si>
  <si>
    <t>Porcentaje de avance de las acciones para aumentar el número de cupos de cicloparqueaderos en infraestructura privada</t>
  </si>
  <si>
    <t>681 - Porcentaje de avance de las acciones para aumentar el número de cupos de cicloparqueaderos en infraestructura privada</t>
  </si>
  <si>
    <t>676_Porcentaje de avance en la estructuración, implementación y operación del estacionamiento en vía para la ciudad de Bogotá</t>
  </si>
  <si>
    <t>663_Concentración promedio ponderado de ciudad de material particulado PM 10
Concentración promedio ponderado de ciudad de material particulado PM 2,5</t>
  </si>
  <si>
    <t>288_Concentración promedio ponderado de ciudad de material particulado PM 10</t>
  </si>
  <si>
    <t>643_Número de jóvenes fallecidos por siniestros viales en jóvenes entre 14 y 28 años</t>
  </si>
  <si>
    <t>Diciembre 31 de 2021</t>
  </si>
  <si>
    <t xml:space="preserve">
Programado 2021
</t>
  </si>
  <si>
    <t>En lo corrido del plan de Desarrollo 2020- 2022, entre los avances más destacados con el fin de alcanzar la meta, la Secretaría Distrita de Movilidad evaluó el estudio presentado por Transmilenio S.A., para el aumento de tarifas 2020 y participó en la proyección del Decreto Distrital 073 de 2020 por el cual se actualizaron las tarifas del SITP. Este Decreto aumentó la tarifa general del sistema y congeló la tarifa para las poblaciones adulto mayor y personas con menor capacidad de pago, con el fin de avanzar hacia una política tarifaria más incluyente y se mantuvo en el 2021. Es importante mencionar que la pandemia ha afectado el desarrollo socioeconómico de los hogares, disminuyendo los ingresos de las familias y dificultando el desarrollo de política pública a largo plazo.  Así mismo el Decreto Distrital 005 de 2022 Por medio del cual se actualiza la tarifa del servicio del Sistema integrado de Transporte Público - SITP en sus componentes zonal y troncal, y se dictan otras disposiciones, mantiene las tarifas para las poblaciones adulto mayor y personas con menor capacidad de pago en el 2022. Adicionalmente, en conjunto con el Banco Mundial se está desarrollando el proyecto de Evaluación de impacto de la política tarifaria del Sistema Integrado de Transporte de Bogotá y el estudio de la transición SISBEN, que contribuirá a la implementación de la Política Tarifaria. Finalmente, es importante señalar que la programación y cumplimiento del 2020, la vigencia 2021 y lo corrido del 2022 corresponde a los datos de la línea base, teniendo en cuenta que la producción de información estadística en el Distrito se realiza regularmente en periodos de 4 años, como es el caso de la encuesta de movilidad (fuente de información para la medición del indicador), lo cual dificulta el seguimiento anual de diversos indicadores, entre estos el indicador en comento. No obstante, la SDM revisó la metodología utilizando otras fuentes de información secundaria con periodicidad anual,  como la ¿Medición de Pobreza Monetaria y Desigualdad¿ publicada por el DANE en el segundo trimestre de cada vigencia (Se debe esperar la publicación de la base de 2021), y el Informe de gasto de los hogares en Bogotá, realizado por la firma Raddar Consumer Knowledge Group. Cabe mencionar que, la utilización de fuentes de información diferentes a las utilizadas en la línea base permitirá hacer un seguimiento del comportamiento preliminar del indicador, no obstante se resalta que, los resultados obtenidos pueden estar alejados de la línea base, teniendo en cuenta que las variables y técnicas para la captura y/o análisis de la información de cada fuente (por ejemplo: el tamaño de la muestra, la composición de la población, los estadísticos utilizados, el margen de error) pueden ser diferentes frente a los utilizados en la medición de la línea base.</t>
  </si>
  <si>
    <t>No se presentan retrasos en la meta</t>
  </si>
  <si>
    <t>Ejecutado 2022</t>
  </si>
  <si>
    <t xml:space="preserve">
Programado 2022
</t>
  </si>
  <si>
    <t>No se presentan</t>
  </si>
  <si>
    <t>En lo corrido del Plan de Desarrollo, se ha logrado un avance de 0.85 km de corredores de transporte masivo ejecutados, lo cual representa un porcentaje de avance de 2.87%. De igual manera, se están adelantando los siguientes proyectos:
*.Avenida 68 alimentadora de la PLMB (Indicador 682): Este proyecto consiste en la construcción para la adecuación al sistema Transmilenio de la Av. Congreso Eucarístico (carrera 68) desde la carrera 9 hasta la autopista sur, dividida en 9 grupos de obra, los cuales a la fecha en su gran mayoría realizan actividades de traslado y adecuación de redes de servicios públicos, actividades silviculturales, excavaciones y conformaciones de las estructuras de pavimento en carriles BRT y mixtos, trabajos en estructuras ( Grupo 5: reforzamiento de puente vehicular Av 68 con calle 26, Grupo 8: traslado de estación Calle 100 Troncal Suba, Grupo 9: montaje puente peatonal conectante Auto norte y calle 100 . Presenta un avance general de 6,62%
*. Extensión Troncal Caracas Tramo I - Molinos al portal Usme (Indicador 683): El proyecto contempla la construcción de las obras de infraestructura para la movilidad requeridas para la adecuación de la Extensión Troncal Caracas en 4.2 km, en el sector comprendido entre la actual estación Molinos y el Portal de Usme. Las obras consisten en la construcción de dos carriles exclusivos para el Sistema Transmilenio, construcción de carriles mixtos, construcción de dos estaciones de Transmilenio, adecuación de cicloruta, espacio público y zonas verdes, a la fecha se cuenta con un avance físico del 20,85% y se destacan actividades de ejecución en la nueva estación Molinos, conformación de espacio público, adecuación de desvíos, construcción de carriles BRT y mixtos y construcción de estructuras (Box hoya del Ramo y Puente vehicular quebrada Chiguaza).
*. Troncal de Transmilenio por la Avenida Ciudad de Cali (Indicador 684): Este proyecto consiste en la construcción para la adecuación al Sistema Transmilenio de la troncal Avenida Ciudad de Cali tramo 1 - entre la Avenida Circunvalar del Sur y la Avenida Manuel Cepeda Vargas, dividida en 4 grupos de obra, los grupos 1 y 2 se encuentran en obra desde el mes de septiembre con un avance general de 8,5%, actualmente se están realizando labores de traslado y adecuación de redes de servicios públicos, conformación de espacio público, excavaciones y conformaciones de las estructuras de pavimento en carriles BRT y mixtos . Los grupos 3 y 4 se encuentran cerrando la etapa de preconstrucción y están próximos a iniciar etapa de obra.
En relación a las acciones de Transmilenio, durante las vigencias 2020 y 2021 se logró el 100% de acuerdo con lo programado para cada vigencia. Para el año 2022 el avance de este primer trimestre corresponde al 25% de lo programado para este 2022.</t>
  </si>
  <si>
    <t>No se presentan retrasos.</t>
  </si>
  <si>
    <t>Desde el inicio de las troncales ha tenido un programa recurrente de construcción y mantenimiento de troncales con el cual pretende que el sistema se mantenga y/o avance, y por otra parte logra los siguientes beneficios hacia la ciudadanía, especialmente a quienes están en zonas o localidades aledañas: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 que con el tiempo se han hecho más importantes.
*. Posibilidad de circulación en tráfico mixto en condiciones de contingencia o en condiciones normales de operación como es el caso de las conexiones operacionales de la Avenida Ciudad de Villavicencio y la conexión entre las troncales Américas y NQS
*. Incorporación de flota biarticulada (buses de 250 pasajeros) para ampliar la capacidad en los corredores de mayor demanda. 
De igual manera, se incrementa y mejora el espacio público, el espacio peatonal y la infraestructura pública disponible e incentivar el sentido de pertenencia de los habitantes de Bogotá, mejora la calidad de la movilidad disminuyendo los de tiempos de viaje y mejora la accesibilidad que provee el Distrito Capital para todos los usuarios peatones, ciclistas, usuarios del transporte público colectivo e individual, así como del transporte privado.
Amplía la red de corredores Troncales de la Ciudad, mejorando las condiciones de cobertura, accesibilidad, costos, seguridad, conectividad y de beneficio social para los ciudadanos con el fin de superar el déficit de oferta de infraestructura y de servicios de transporte en la ciudad y atender la demanda de pasajeros.</t>
  </si>
  <si>
    <t>Con corte a 31 de Marzo de 2022  se ha  construido  3 patio portal con lo cual presenta un avance del 50% frente a la meta del plan de desarrollo, dicha inversiones se realizo en los siguientes puntos:
PATIO PORTAL AMERICAS
PATIO PORTAL SUR
PATIO PORTAL TUNAL
En relación a las actividades adelantadas por parte de TMSA, durante las vigencias 2020 y 2021se logró un porcentaje de cumplimiento del 100% de acuerdo con lo programado para cada vigencia. Para el año 2022 el avance de este primer trimestre corresponde al 25% de lo programado para este 2022. 
Ahora bien, frente al estado actual de los diferentes proyectos se informa:
*. Gaco: Ya se tiene contrato de factibilidad estudios y diseños. Se tiene una ejecución del 97% del mismo. En trámite de aprobaciones y permisos de entidades públicas.
*. Alameda: Se encuentra en fase de liquidación de estudios y diseños.
*. San José: El  IDU entregó alternativa 3 de prefactibilidad. Se encuentra pendiente resolver los problemas de falsa tradición de predios necesarios para el acceso al polígono.
*. La Reforma: La etapa de construcción del patio presenta un avance del 35% y se culminó el trámite de licencia de construcción de edificaciones. Se encuentra en definición por parte del IDU el diseño del muro perimetral contra el Barrio Reforma.
*. Carboquímica: Se ha hecho acompañamiento a los procesos con SDA para la remediación del predio. De igual manera se entregó un alcance a los parámetros operacionales para evaluar alternativas en caso de no ser posible seguir con este predio. El IDU se encuentra evaluando las posibles áreas que puedan sustituir a Carboquímica en caso de no lograrse la remediación.
*. Patio Soacha Ciudad de Cali: Se adelantaron gestiones con los desarrolladores inmobiliarios de ciudad verde y la alcaldía de Soacha, para evaluar el predio más apropiado para la implemenetación de la infraestructura de transporte. Se está pendiente de la aprobación del POT de Soacha.
IDU - Indicador : Número de patios diseñados y contratada su construcción (patios troncales y zonales de SITP diseñados).</t>
  </si>
  <si>
    <t>Con los proyectos para el diseño y construcción de patios troncales y zonales del Sistema, se busca contar con la infraestructura necesaria de modo que se garantice la adecuada y eficiente operación de la flota del Sistema, incluyendo su estacionamiento y mantenimiento. Lo anterior, con el fin de prestar un servicio de calidad en términos de seguridad y eficiencia, garantizando la calidad del servicio del SITP para todos los usuarios.</t>
  </si>
  <si>
    <t>Meta de tipo constante cuyo avance para las vigencias 2020 y 2021 fue de 100% de acuerdo con lo programado para cada vigencia. Para el año 2022 el avance de este primer trimestre corresponde al 25% de lo programado para este 2022.  
Respecto a las actividades adelantadas es importante resaltar que se dió inicio a las mesas técnicas de trabajo para el saneamiento de predios propiedad de TRANSMILENIO S.A. afectos a la infraestructura de transporte y al plan parcial. De igual manera se participó en las diferentes juntas de infraestructura de la Alcaldía Mayor de Bogotá para efectos de articular la ejecución de la Estación Central junto con el Plan Parcial liderado por la ERU. 
Por otra parte y bajo la suscripción de convenio marco 344-21 ERU- TMSA - EMB - Secretaría General para la estructuración del proyecto, se suscribió el reglamento operativo del mismo y se participó en las reuniones de coordinación de dicho convenio.</t>
  </si>
  <si>
    <t>A la fecha no se cuentan con recursos para la ejcución, se llevará el caso al comite de Transmilenio.</t>
  </si>
  <si>
    <t>Con este proyecto se busca la implementacion de  la estación de intercambio modal del SITP más robusta que coincide con la Primera Linea del Metro de Bogotá, una eventual interacción con el Regiotram de Occidente y la interconexión y trasferencia de ciudadanos entre las diferentes troncales BRT que coinciden en el centro de la  ciudad, en suma de la integración con el componente zonal del SITP, todas estas accioens enmarccadas en un proyecto de renovación urbana detonado y catalizado por el sistema de transporte publico.</t>
  </si>
  <si>
    <t>Meta de tipo constante cuyo avance para las vigencias 2020 y 2021 fue de 100% de acuerdo con lo programado para cada vigencia. 
Para el año 2022 el avance de este primer trimestre corresponde al 25%. Dentro de las acciones adelantadas estpan:
Se dio continuidad a la ejecución de los contratos 1114-21 y CTO 1115-21 (mantenimiento e interventoría respectivamente), contratos por medio de los cuales se continúan ejecutando y garantizando los mantenimientos requeridos por la infraestructura del Sistema Integrado de Trasporte Público (componente BRT). Como se ha informado en anteriores ocasiones, consecuencia de las graves afectaciones generadas en la infraestructura del sistema BRT en la vigencia pasada donde resultó afectada cerca del 90% de la infraestructura BRT, a la fecha se continúa gestionando y atendiendo el remanente de tales afectaciones acorde con las priorizaciones, presupuesto  y considerando para ello varios factores de tipo técnico, operacional y de seguridad, así como tiempos de producción y entrega de algunos elementos y de los tiempos disponibles para su ejecución.</t>
  </si>
  <si>
    <t>Con este proyecto se ha logrado mejorar el nivel de servicio de las estaciones del Sistema TransMilenio y disminuir la congestión en horas pico. Así mismo, se ha fortalecido la capacidad instalada de la infraestructura de transporte masivo y soporte del SITP, buscando mejorar constantemente la calidad del transporte público para todos los usuarios del Sistema.</t>
  </si>
  <si>
    <t>Entidad no reporta información para este campo</t>
  </si>
  <si>
    <t>Con corte a marzo de 2022, se encuentran en ejecución  los 3 grupos de contratos suscritos para realizar los estudios y diseños del proyecto como se relacionan a continuación:
1. Corredor Verde de la carrera séptima  desde la calle 26 hasta la calle 32 Tramo 1. IDU-1319-2021 interventoría IDU-1366-2021 por valor de 1393millones  la obra y la interventoría  725 millones 
2. Corredor Verde de la carrera séptima  desde la calle 32 hasta la calle 93A Tramo 2. IDU-1299-2021 interventoría IDU-1367-2021 por valor de 4.225 millones e interventoría 1.329 millones 
3..  Corredor Verde de la carrera séptima  desde la calle 93A  hasta la calle 200Tramo 3. IDU-1336-2021 interventoría IDU-1368-2021 por valor de 5.373 millones e interventoría 1.612 millones. 
Entendiendo que el proyecto se encuentra dividido en tramos y que las complejidades y temporalidades son diferentes, los cronogramas que se estiman para cada uno de los tramos son diferentes, en ese orden de ideas, se prevé que la ejecución de las obras se desarrolle en los próximos trimestres.
De igual manera, y en relación con las actividades programadas por parte de la Empresa de Transmilenio, durante las vigencias 2020 y 2021se logró el cumplimiento del 100% de acuerdo con lo programado para cada vigencia. Para el año 2022 el avance de este primer trimestre corresponde al 25% de lo programado para este 2022. El proyecto se encuentra en estructuración y se encuentran en ejecución los contratos de consultoría e interventoría adjudicados por el IDU. El avance del proyecto en estudios y diseños es del 36%.</t>
  </si>
  <si>
    <t>La administración distrital diseñará y construirá un corredor verde sobre la carrera séptima. A diferencia de un corredor tradicional en el que se privilegia el transporte usando energías fósiles, transporte masivo en troncal y de vehículos particulares, en un corredor verde, como el que se hará en la carrera séptima, se privilegia el uso de energías limpias, el espacio público peatonal y formas de movilidad alternativa como la bicicleta. El corredor verde, además se diseñará con participación ciudadana incidente, como un espacio seguro con enfoque de tolerancia cero a las muertes ocasionadas por siniestros de tránsito, que proteja el patrimonio cultural, que promueva la arborización urbana, que garantice un mejor alumbrado público, la operación de un sistema de bicicletas, la pacificación de tránsito y que mejore la calidad del aire a través del impulso a la electrificación de los vehículos que por ahí circulen. </t>
  </si>
  <si>
    <t>Avance Meta PDD
Meta de tipo decreciente cuyo avance representa una reducción de 5,39 puntos porcentuales, pasando de una cifra de 15,36 a una cifra de 9,97. A continuación, las principales acciones adelantadas:
*. Se sigue avanzando en la implementación del Plan Estratégico Anti Evasión en sus cuatro líneas de trabajo:
1.Prevención, Cultura Ciudadana, Incidencia y Corresponsabilidad.
- Se adelantaron 1074 acciones de prevención y control de la evasión del pago en las que se sensibilizaron 76868 personas, de las cuales, un 34.2%., se devolvieron a pagar su pasaje.
- Estructuración de la inserción de TMSA en las actividades de Programa Comunitario para evasores del pago. 
2. Monitoreo y caracterización de la evasión 
- Se avanzó en la ejecución del diseño del software de inteligencia artificial en el marco del CTO1157-21 con la empresa Unión Temporal Movilidad Inteligente 2021. Se revisaron los productos entregados sobre actualizaciones de casos de pruebas y creación de los módulos de consulta, de evasión y de incidentes de seguridad. 
3. Fortalecimiento de la Infraestructura 
- Seguimiento de la interventoría de flota no troncal a los concesionarios de operación de Fase III, solicitando verificación de información para el cierre de la implementación de las medidas anti-evasión según lo pactado en el otrosí estructural. 
- Se acompañaron los avances para el inicio de los contratos para el cambio de puertas de 24 estaciones del Sistema y firma de acta de inicio del Consorcio Nautilus encargado del Lote 1. 
- Planeación, ejecución y seguimiento del piloto de flujos de BCA en la Estación Calle 57 para mitigar la evasión. 
4. Fiscalización
- Aplicación de 4579 comparendos por evasión</t>
  </si>
  <si>
    <t>No se reportan retrasos.</t>
  </si>
  <si>
    <t>Se medirá el cumplimiento al final de cada año. Mientras tanto, se va avanzando en la implementación del Plan Estratégico Anti - Evasión en sus cuatro líneas de trabajo con las actividades descritas en el documento adjunto.
1. Prevención, Cultura Ciudadana, Incidencia y Corresponsabilidad.
2. Monitoreo y caracterización de la evasión
3. Fortalecimiento de la Infraestructura.
4. Fiscalización</t>
  </si>
  <si>
    <t>En lo corrido del Plan de desarrollo se ha realizado el mejoramiento  de 21 estaciones con lo cual se alcanza un avance   en el PDD del 48%, en el año 2022 se ejecutó el mejoramiento de 1 estación. Acciones que se han ejecutado a través de los siguientes puntos de inversión:
Ampliaciones de estaciones al sistema TM GP 1 ( 9) IDU-971-2020
Ampliación de estaciones de emergencia Gp 1 ( 6) IDU-1318-2018
Ampliación de estaciones de emergencia Gp 2 (3) IDU-972-2020
Ampliación de estaciones TM - Emergencia Grupo(2)  III IDU-973-2020
Amplicion de estaciones TM GP 2 urgencia manifiesta  (1) IDU-973-2020
En relación a las acciones adelantadas por Transmilenio TMSA, durante las vigencias 2020 y 2021 se logró el 100% de acuerdo con lo programado para cada vigencia. Para el año 2022 el avance de este primer trimestre corresponde al 25% de lo programado para este 2022.  Las principales acciones adelantadas fueron:
*.Se participó en comités de seguimiento para verificar el avance de los 5 contratos IDU de mejoramiento de estaciones, además de los comités de seguimiento al convenio 20 de 2001. *. Se recibieron 21 estaciones ampliadas.
*. Contrato 1309-18:  Finalizó la obra e Iniciaron operación 9 estaciones (NQS- Calle 38 Sur, NQS- Madelena, NQS- Santa Isabel (etapa 1), NQS- Alquería, NQS- Calle 30 Sur, Américas- Carrera 43, Américas- Zona Industrial, Américas- CDS Carrera 32 y, Américas- De la Sabana) y está en etapa de recibo de 1 estación (Santa Isabel - etapa 2).
*. Contrato 1535-18: Se encuentra en ejecución de la construcción de 9 estaciones.
*. Contrato 971-20: Se entrgaron 5 estaciones (Fucha, San Martín, Humedal Córdoba, Quiroga y Consuelo). Se encuentra en construcción la estación Transversal 91.
*. Contrato 972-20: Fueron entregadas 3 estaciones: Estación Gratamira, la primera fase de la Estación Polo (un nuevo vagón) y estación Calle 80 Minuto de Dios. Se avanza en la etapa dos de la estación Calle 80 Polo.
*. Contrato 973-20: Fueron entregadas 3 estaciones, NQS- Av. Dorado, Pepe Sierra (externalización de taquilla) y Puente Aranda. Se encuentran en etapa de obra las 2 externalizaciones de taquillas (calle 127 y virrey) y avanza la construcción del nuevo vagón de General Santander.
Finalmente, se encuentra en estudios y diseños contrato mixto de ampliación de 8 estaciones y contrato de estudios y diseños de 2 estaciones.</t>
  </si>
  <si>
    <t>No se presentan retraso.</t>
  </si>
  <si>
    <t>En lo corrido del Plan de Desarrollo, se ha realizado el mantenimiento de 28,88 km- carril de malla vial troncal lo que conlleva a un cumplimiento del 8.02% frente a la meta PDD, dichas acciones se   realizado a través  de :
MANTENIMIENTO TRONCALES TRASNMILENIO G2 IDU-1626-2020 y IDU-1627-2020
MANTENIMIENTO TRONCALES DE TRANSMILENIO IDU-1718-2021
IDU-1719-2021 IDU-1721-2021</t>
  </si>
  <si>
    <t>El IDU desde el incio de las troncales ha  tenido un programa recurrente  de construcción y  mantenimiento de troncales  con el cual pretende  que el sistema se mantenga  y/o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 que con el tiempo se han hecho más importantes.
- Posibilidad de circulación en tráfico mixto en condiciones de contingencia o en condiciones normales de operación como es el caso de las conexiones operacionales de la Avenida Ciudad de Villavicencio y la conexión entre las troncales Américas y NQS
- Incorporación de flota biarticulada (buses de 250 pasajeros) para ampliar la capacidad en los corredores de mayor demanda.</t>
  </si>
  <si>
    <t>Durante las vigencias 2020 y 2021 se logró mantener el tiempo promedio de viaje por debajo de los 50 minutos; a diciembre de 2020 se logró un tiempo de 43,85 minutos y a diciembre de 2021 un tiempo de 45.6 minutos
Lo anterior gracias a las diversas acciones adelantadas como la disponibilidad del sistema de semaforización por encima del 99%, inspecciones de seguridad vial, 45 planes éxodo, implementación de agentes civiles de tránsito, seguimiento a planes de manejo de tránsito, inicio del proyecto de Gerencia en Vía, implementación de pilotos en los corredores de la Av. Boyacá, calle 26, Av Primera de Mayo, Av. Américas, Carrera 7, Calle 80, Carrera 68 y Av. Ciudad de Cali, se continuó con las labores para mejorar la circulación de ciclistas en el corredor de calle 13 y para los demás corredores continuó con el equipo de gerencia en vía.
En lo que respecta a la vigencia 2022, y considerando medidas como el Pico y Placa y las dinámicas de salida y retorno de usuarios de las vías, inicialmente se tuvo una reducción en el tiempo promedio de viaje del orden de 7% pasando de 50 a 46,49 minutos. Sin embargo, con el retorno de las actividades académicas del mes de febrero de 2022 se presentó un aumento en los tiempos de viaje. Para el mes de marzo, se aumentó el tiempo de viaje a 51,8 minutos, lo anterior debido al aumento de los frentes de obra y la temporada de lluvias que se ha generado en la ciudad. Es preciso indicar que se continúa con la disponibilidad del sistema de semaforización por encima del 99%, la realizazación de jornadas de gestión en vía, seguimiento a planes de manejo de tránsito, entre otras.</t>
  </si>
  <si>
    <t>Durante el primer trimestre del año 2022 se reportó un aumento en los tiempos de viaje de la Ciudad, sin lograr mantener el tiempo de viaje promedio. Por lo tanto, se estan planeando medidas de alto impacto como por ejemplo contralfujo vehicular en la Av. Américas que tendrá  en el tramo de la Cra 74 a la Carrera 62 sentido occidente - oriente, beneficiando cerca de 7500 vehículos en la HMD, entre otras medidas. Así mismo, inició el Plan de choque para el control de estacionamiento indebido.</t>
  </si>
  <si>
    <t>Con las acciones adelantadas se ha logrado mantener la velocidad de operación de la ciudad sin descuidar la seguridad vial y mitigando los impactos de congestion en los corredores de mayor volumen de tránsito de la ciudad, de esta manera se brindó una óptima experiencia de viaje a los usuarios de los corredores.</t>
  </si>
  <si>
    <t>En lo corrido del Plan de Desarrollo se han realizado las acciones programadas para la implementación y operación del Centro de Orientación. A la fecha se ha logrado beneficiar a 415 personas, 290 en 2021 y 125 en 2022. En lo que respecta a las acciones adelantadas en la vigencia 2022, como parte de la implementación del Centro de Orientación a Víctimas Directas e Indirectas de Siniestros Viales se fortalecieron las actividades de atención a partir de las líneas de atención temáticas establecidas. Adicionalmente, se promovieron los servicios brindados para mejorar los niveles de atención y su alcance a partir de una estrategia de comunicaciones vinculadas a las redes sociales de la Secretaría Distrital de Movilidad.</t>
  </si>
  <si>
    <t>El beneficio principal logrado en el marco de la implementación de las acciones relacionadas con el fortalecimiento de la gestión y operación del Centro de Orientación a Víctimas de Siniestros Viales es el fortalecimiento del servicio prestado a la ciudadanía y el fortalecimiento de las capacidades institucionales, evidenciado en la construcción de una estrategia de generación de información, conocimiento e implementación de actividades de formación entre las que se incluye la implementación del primer Diplomado en Victimología Vial, en el cual se inscribieron 36 personas y se graduaron 26.</t>
  </si>
  <si>
    <t>En relación al número de cupos de cicloparqueaderos implementados, en lo corrido del Plan de desarrollo se han implementado 1.685 ciclo parqueaderos tanto en vías como en los campamentos de las obras que se encuentran en ejecución, con lo cual se alcanza un 33.70% de cumplimiento de la meta Plan , dichos ciclo parqueaderos se encuentran ubicados así:
-Red Peatonal Zona Rosa (198)
-Avenida el Rincón (KR 91 y AC 131A) desde Carrera 91 hasta Avenida la Conejera (TV 97)-(104)
-AV BOSA DESDE AV C CALI HAST AV TINTAL (72)
-AMPLIACIÓN ESTACIONES GP 2 (45)
-AV. NOVENA - 170-193 (5)
-TM CARACAS TRAMO 1 (58)
-(AV. RINCÓN E INTERSECCIÓN DE LA AV.RINCON X AV. BOYACÁ) (50)
-CALLES COMERCIALES GP1 - BARRIOS UNIDOS (20)
-AV. GUAYACANES GP 1 (141)
-AV. GUAYACANES GP 2 (350)
-AV. GUAYACANES GP 3 (225)
-AV. GUAYACANES GP 5 (95)
-Puente Peatonal Calle 112 (8)
-AV.  68 ALIMENTADORA LINEA METRO- GP 1 (50)
-AV.  68 ALIMENTADORA LINEA METRO- GP 2 (15)
-AV.  68 ALIMENTADORA LINEA METRO - GP 3 (10)
-AV.  68 ALIMENTADORA LINEA METRO - GP 4 (35)
-AV.  68 ALIMENTADORA LINEA METRO- GP 5 (35)
-AV.  68 ALIMENTADORA LINEA METRO - GP 6 (30)
-AV.  68 ALIMENTADORA LINEA METRO - GP 7 (12)
-AV.  68 ALIMENTADORA LINEA METRO - GP 8 (15)
-AV.  68 ALIMENTADORA LINEA METRO - GP 9 (9)
-Ampliación de estaciones TM - Emergencia - Grupo I (16)
-Ampliación de estaciones TM - Emergencia - Grupo II-(16)
-ACERAS Y CICLORUTAS CALLE 92-(20)
-CICLOPUENTE DEL CANAL MOLINOS-(11)
ACERAS Y CICLORUTAS CALLE 116-(20)
-PATIO LA REFORMA-(10)
-TM CIUDAD DE CALI-LOTE 4-(10)
Frente al número de cupos de cicloparqueaderos en infraestructura privada, con corte a 31 demarzo se tiene un 45% de avance en las acciones para aumentar el número de cupos así:
*. Año 2021 se obtuvo un 36% de avance en el desarrollo de las acciones para aumentar el número de cupos de cicloparqueaderos. A continuacion se presentan algunas de esas acciones: 
1. Se realizarón 7 sinergías entre la Secretaría Distrital de Gobierno, Instituto Distrital de Desarrollo Urbano, Secretaría Distrital de Hacienda y Secretaría Distrital de Movilidad.
2. Durante el año se contacto a 25 empresas a las cuales se les realizo el seguimiento y se les dio a conocer el Acuerdo distrital 790 de 2020 y el programa de Sellos de calidad, dichas empresas son:Asobares, Asobancaria, Ara, Tostao, Fenalco, Anato, Grupo éxito, OPAIN, Cencosud, CC Avenida Chicle, Terpel, ACOPI, Enel, Farmatodo, Caracol TV, Decathlon, Wok, Bancolombia-sura, Seguros del Estado, Makro, Alsea, Movistar, Crepes &amp; Waffles, Homecenter y Home sentry.
3. Durante el transcurso del año se realizarón las siguientes certificaciones
Universidad de los Andes, Centro Comercial Unicentro, Centro Comercial Plaza Central, Centro Comercial Atlantis, Centro Comercial Avenida chile, j&amp;J, Centro Comercial Floresta Outleet, Homesentry calle 116, Centro Comercial porto alegre, Parking international,Centro comercial subazar.
*. Año 2022: para el aumento del número de cicloparqueaderos en infraestructura privada se realizó la asesoría y visita técnica a la torre empresarial Sarmiento Angulo, a 5 Parqueaderos fuera de vía con sello Oro correspondientes, a 3 Parqueaderos fuera de vía que son Parking International, al  Parqueadero Aparcar Biblioteca Virgilio Barco con 42 Cupos de cicloparqueaderos  - Sello Plata  y al Parqueadero Lugano con 83 Cupos de cicloparqueadeo - Sello Plata.
De igual manera, y en materia de cicloparqueaderos de infraestructua pública, en lo corrido del Plan de Desarrollo se han implementado 20.741  cicloparqueaderos, asi:
*. Año 2021: Secretaria Distrital de Hacienda 334, Terminal de transporte 33, IDU 302, Secretaría Distrital de Educación 695, Secretaría Distrital de Hábitat 33, Secretaría Distrital de Ambiente 56, Gobernación de Cundinamarca 250, IPES 310, Secretaría Distrital de Movilidad 52, Acueducto de Bogotá 244, Alcaldía General-Secretaría de Gobierno-Secretaría Jurídica 111, Secretaría Distrital de Integración Social 52, Contraloría 36, IDPYBA 33, Parqueo en vía 192 cupos, entre las gestiones adelantada, programó y realizó el inventario parcial de cupos de cicloparqueaderos en espacio público (entre estos, parques, plazas y plazoletas) y equipamientos distritales, reconociendo así una oferta de 16.533 cupos que no se tenía contabilizada dentro de la red de cicloinfraestructura, ni inventariada por las entidades del sector movilidad. Lo anterior, para un total de cupos implementados en infraestructura pública en el año 2021 de: 19.266.
*. Año 2022: se implementaron 1.475 cupos de infraestructura pública corresponden a -1264 cupos de equipamientos -128 cupos de parques -24 cupos registrados por el IDU.
Adicionalmente, se hicieron visitas a las siguientes alcaldías locales con el fin de establecer la necesidad de cicloparqueaderos en infraestructura pública en las siguientes Alcaldías Locales de Teusaquillo, Puente Aranda, Tunjuelito, San Cristóbal, Antonio Nariño, Rafael Uribe Uribe, Candelaria, Santa fé, Engativá, Barrios Unidos, Bosa, Ciudad Bolívar, Usme, Fontibón. Por otro lado, para aumentar el número de cicloparqueaderos en infraestructura pública se realizaron visitas e inventarios a los colegios de las localidades de Ciudad Bolívar, Puente Aranda y San Cristóbal. También se realizaron visitas a equipamientos distritales en la localidad de Usme.</t>
  </si>
  <si>
    <t>No se reportan retrasos en materia de cicloparqueaderos por parte del Sector Movilidad.</t>
  </si>
  <si>
    <t>Los cicloparqueaderos han facilitado los desplazamientos en bicicleta y  en el marco de La Nueva Movilidad, infraestructura adicional, refuerzo en la seguridad y conexiones directas.
De igual manera, estas acciones han permitido que los y las ciclistas cuenten con un lugar adecuado, seguro y cómodo para poder guardar su bicicleta, reduciendo la posibilidad del hurto y facilitando su movilidad en la ciudad. 
Otro beneficio importante es que se aumenta la calidad de vida de los ciudadanos dado que se incrementa la actividad física y contemplativa del paisaje urbano.</t>
  </si>
  <si>
    <t>Frente a la acción adelantada por la Secretaría Distrital de Movilidad, se avanzó en la ejecución y seguimiento del convenio firmado con la Gobernación de Cundinamarca, la Empresa Férrea Regional, el Instituto de Desarrollo Urbano y Transmilenio S.A.  para la integración del Regiotram de Occidente el SITP de Bogotá en el mes de noviembre de 2020
- Se avanzó en la ejecución y seguimiento del convenio firmado con la Gobernación de Cundinamarca, la Empresa Férrea Regional y Findeter para llevar a cabo los estudios de factibilidad y la estructuración del proyecto Regiotram del Norte en el mes de noviembre de 2020.
- Se avanzó en la estructuración del plan de trabajo y priorización de tareas, proyectos y reglamentación asociada al sistema de movilidad adoptado en el Plan de Ordenamiento Territorial mediante Decreto Distrital 555 de 2021.
En 2022 se avanzó en la coordinación y apoyo técnico a la Secretaría Distrital de Planeación para la revisión general del Plan de Ordenamiento Territorial en lo que respecta a temas del Sector Movilidad, específicamente en la preparación para la entrega de la propuesta del POT ante el CTPD realizada el 12 de julio y ante el Concejo Distrital realizada el 10 de septiembre y sus correspondientes socializaciones ante entes de control y ciudadanía. Lo anterior representa un porcentaje de avanec del 41% para 2022.
En relación a las acciones adelantadas por Transmilenio TMSA, la meta presenta con corte a 31 de marzo de 2022 un porcentajde de avance del 40.25% de lo programado para la vigencia del PDD. A continuación, el detalle:
Los proyectos para los Complejos de Intercambio Modal - CIM del Norte y 80, se encuentran en etapa de factibilidad. Se suscribió convenio interinstitucional para el proyecto. El desarrollo de los dos proyectos se está dando por separado. Del CIM 80, a la fecha no hay entregables, por esto fue solicitado al Comité Distrital de APP recomendar el rechazo. En CIM Norte el originador constituyó el patrimonio autónomo. Se han realizado mesas de trabajo para evaluar garantizar que sea viable el proyecto de CIM Norte cumpliendo necesidades de área requeridas por el SITP.</t>
  </si>
  <si>
    <t xml:space="preserve">No se presentan retrasos en la meta.
</t>
  </si>
  <si>
    <t>El fortalecimiento de los procesos de planeación, gestión y operación del sistema de movilidad urbano - regional que han permitido impulsar la calidad de vida de los ciudadanos y la competitividad,  abarcando todos los modos de transporte y los diferentes tipos de logística y de carga para la ciudad. 
Se han logrado mitigar las externalidades negativas que genera el transporte de carga en Bogotá-Región.ar la calidad de vida de los ciudadanos y la competitividad, abarcando todos los modos de transporte y los diferentes tipos de logística y de carga para la ciudad. 
Mitigar las externalidades negativas que genera el transporte de carga en Bogotá-Región.
-Aportar a la construcción del Modelo de Ordenamiento Territorial para la ciudad y a la conformación del Nuevo Sistema de Movilidad Multimodal y Sostenible incorporado en el nuevo POT.
-El diseño, construcción, operación y mantenimiento del Complejo de Integración Modal de la Autopista Norte beneficia en la medida en que facilita el intercambio modal con el transporte intermunicipal en el sector. Se genera nueva infraestructura de soporte del Sistema, y  genera oportunidades de ingresos colaterales asociados a  desarrollo inmobiliario en predios de uso público del CIM Norte, como fuente adicional a los ingresos de transporte.</t>
  </si>
  <si>
    <t>La Meta es de tipo decreciente cuyo avance es de 23,55 que representa una disminución del tiempo promedio de 0.02 minutos con respecto a lo esperado para toda la vigencia del PDD . 
Para el primer trimestre del año 2022 se avanzó en la logística para la toma de información de seguimiento al indicador, la cual se realizará en 27 estaciones y 83 paraderos  tipo para el componente troncal y zonal respectivamente.</t>
  </si>
  <si>
    <t>Entidad no reporta información para este campo.</t>
  </si>
  <si>
    <t>Con la implementación de la flota troncal correspondiente a la renovación de la flota troncal se brinda una capacidad adicional de 40% y las unidades funcionales 2 y 3 se brinda mayor accesibilidad a cerca de 157,000 usarios al servicio de transporte.</t>
  </si>
  <si>
    <t>En lo corrido del Plan de Desarrollo la meta se ha desarrollado satisfactoriamente. 
Con el apoyo del equipo técnico de la Subdirección de Transporte Privado y la Red Muévete Mejor, se han realizado las siguientes actividades en el marco de la política de movilidad compartida:
1. Encuesta de gestión de la demanda y movilidad compartida, se capturaron las preferencias declaradas de más de 13.783 personas que la respondieron. La encuesta fue respondida entre el 23 de octubre y el 3 de noviembre de 2021.
2. Se publicó la Resolución 118139 de 2021, que incluye la autorización de emplear medios tecnológicos para facilitar la inscripción al permiso semanal de alta ocupación vehicular.
3. Se publicó entre el 12 y el 16 de diciembre de 2021 la resolución de intercambio de información con plataformas tecnológicas para comentarios de la ciudadanía.
4. El 24 de diciembre de 2021 se publicó la Resolución 173157 de 2021, la cual establece los requerimientos para la integración de plataformas tecnológicas para la obtención del permiso semanal por alta ocupación vehicular.
5. Con el apoyo de la Red Muévete Mejor, se realizó charlas virtuales sobre movilidad compartida. La Red realiza permanentemente actividades de capacitación y asesoría con el objetivo de fomentar la movilidad sostenible en empresas.
6. Integración de 2 plataformas tecnológicas con el SIMUR en el marco de la Resolución 173157 de 2021. Ésto facilita el uso del permiso semanal por alta ocupación vehicular a la ciudadanía en general.
7. Lanzamiento del piloto de carro compartido, con la participación de 5 empresas y 2 plataformas tecnológicas.
8. Participación en 3 eventos de carácter empresarial, donde se explica el permiso y se promueven hábitos de movilidad sostenible.
Durante la vigencia 2021se presentaron algunas dificultades en la formulación de la Resolución 173157 de 2021 (la cual establece las condiciones para el proceso de intercambio de información en la inscripción de vehículos con una ocupación de tres (3) o más personas) relacionados con los requerimientos tecnológicos para la integración de las plataformas tecnológicas. Se resolvieron haciendo reuniones con las plataformas interesadas, y la publicación del Proyecto de Resolución entre el 27 de octubre y el 3 de noviembre de 2021. Finalmente, con ésto se dio paso a la publicación de la Resolución el 24 de diciembre de 2021. Esta situación no representa retrasos en la meta.</t>
  </si>
  <si>
    <t>La meta no presenta retrasos.</t>
  </si>
  <si>
    <t xml:space="preserve">Entre el 11 de enero y el 25 de marzo de 2022, se han realizado 1.332.945 registros para el permiso semanal, con un promedio de 127.158 registros semanales. Si se considera desde el inicio de la medida en septiembre de 2020, en total 4.469.384 registros se han realizado hasta el 25 de marzo de 2022.
La encuesta, las pruebas de las aplicaciones, la implementación de la medida de pico y placa para vehículos de alta ocupación, son componentes que contribuirán a la creación de medidas que tendrán como área de intervención, el Distrito Capital y la Región.
</t>
  </si>
  <si>
    <t>En cumplimiento de la meta Plan de Desarrollo se destacan las siguientes acciones:
1. Realización de benchmarking y proceso de co-creación para la conceptualización del modelo de calidad al usuario, definiendo instrumentos de seguimiento y medición; así como, su estrategia de implementación. A partir de este, se pone en marcha plan piloto para la implementación del Modelo de Calidad.
2. Diagnóstico de la implementación de Plataformas Tecnológicas en el servicio de Taxi, construcción de requerimientos funcionales para el ajuste de API Taxis y del Sistema de Información y Registro de Conductores, realización de pruebas funcionales a los desarrollos implementados y construcción del proyecto de Decreto por el cual se modifica el Decreto 456 de 2017.
3. Seguimiento al algoritmo de cobro definido a través del Decreto 568 de 2017, evaluación de otras posibles alternativas de tarificación y cierre de la brecha tarifaría en la modalidad de transporte.
4. Priorización de 50 zonas amarillas en las localidades de CHAPINERO, FONTIBÓN, PUENTE ARANDA, TEUSAQUILLO y USAQUÉN. Inicio consultoría con Banco Mundial para definición de nuevo concepto y esquema de administración de zonas amarillas en la ciudad de Bogotá. Elaboración de 6 conceptos de viabilización de zonas amarillas en las localidades de Chapinero (AC 63-KR7 / KR7A, AC 82 (CL 84A)-KR12 / KR12A, CL 82-KR11 / KR12) y Teusaquillo (KR 27-CL53 / CL53B-OCCIDENTE, KR 27-CL53 / CL53B-ORIENTE, KR 27-CL53 / CL52). Visita técnica para viabilización de 6 conceptos de zonas amarillas en la localidad de Chapinero.
5. Gestión interinstitucional con entidades como la Secretaría Distrital de la Mujer, Transmilenio y con Gobierno Abierto de Bogotá de la Alta Consejería TIC (Tecnología, Información y Comunicaciones)para coordinación de responsabilidades y competencias para la implementación de un botón de reporte dentro del servicio de Taxi en la ciudad.
6. Realización de 54 jornadas de capacitación adelantadas desde el mes de junio de 2020 hasta el mes de marzo de 2022 en áreas de conocimiento y habilidades como promoción en salud, bienestar personal y familiar y calidad del servicio.</t>
  </si>
  <si>
    <t>No se presentan retrasos en la meta.</t>
  </si>
  <si>
    <t>Mejoramiento en la experiencia de viaje del usuario y del prestador del servicio de transporte público individual, a través del reporte de información de taxi, uso de plataformas por parte de los usuarios  y mayor control por parte de la SDM de las tarjetas de control, así como la elaboración de estrategias de mejora que incidan en la experiencia del usuario de taxi y los prestadores del servicio
Confiabilidad en el servicio y mejor experiencia de viaje en Bogotá y la Región, mediante el desarrollo de estrategias como las zonas amarillas que organizan la ciudad y dan confianza a los usuarios de taxi.</t>
  </si>
  <si>
    <t xml:space="preserve">Las actividades que se desarrollaron durante la vigencia 2022 corresponden a la operación en vía con lo siguiente:                                                                                                                                                                                                                                                    
La estructuración y puesta en marcha que se dio en el 2021 está en 100%, para el primer trimestre del 2022 se llevan implementando un total del 8,8% de los cupos de estacionamiento habilitados que corresponden a una magnitud de 1.500 y todo el soporte de operación de los mismos.
</t>
  </si>
  <si>
    <t>1.Organización del tráfico de la ciudad.
2. Impacto medio ambiental
3. Estacionamiento en vía como un instrumento de financiación para la administración pública. 
4. Desincentivar el uso de vehículos privados</t>
  </si>
  <si>
    <t>En cumplimiento de la Meta, se realizó el avance de acciones que permitirán la implementación una política tarifaria más incluyente y sostenible: 
- Se realizó la toma y captura de las encuestas a hogares ‘encuesta de percepción del riesgo vial 2021 -EPRV´ y ´encuesta de movilidad y género 2021 -EMG´ para la ciudad de Bogotá y municipios aledaños que contribuye a entender las dinámicas de movilidad de la población. 
- Se está desarrollando el proyecto de Evaluación de impacto de la política tarifaria del Sistema Integrado de Transporte de Bogotá en conjunto con el Banco Mundial. 
- Se está desarrollando el estudio de la transición SISBEN, que contribuirá a la implementación de la Política Tarifaria.</t>
  </si>
  <si>
    <t>No se reportan retrasos en el cumplimiento de la meta</t>
  </si>
  <si>
    <t>Población económicamente vulnerable con enfasis en minorías y género.</t>
  </si>
  <si>
    <t xml:space="preserve">En lo corrido Plan de Desarrollo se han implementado las siguientes acciones
1. Más seguridad personal: A través de registro Bici, se realizaron 326 jornadas en las cuales se registraron 155.337 bicicletas durante el trimestre. 2. Mayor seguridad vial: Se apoyó con material POP el desarrollo de 775 acciones pedagógicas, de las cuales 263 han sido exclusivas para ciclistas, para un total de 54.392 Participantes. 3. Más y mejores viajes en bicicleta: Se avanzó en un (90%) en la construcción de los DTS que impacta la meta de (implementación). Además, se aportó a la implementación de 14 km de ciclovia temporal. En cuanto a cicloparqueaderos se han certificado mas de 100 mil cicloparqueaderos sello oro y plata. El Número de cupos de cicloparquederos gestionados en infraestructura pública fue de 20.749 cupos. para ciclparqueaderos en infraestructura privada, corresponde a un 45%. Los avances que se presentaron para el cumplimiento de la ley 1811 de 2016 fueron los siguientes: cupos de vehículos motorizados Entidades: 7495, Colegios: 620, Subredes: 838, número de cicloparqueaderos con los que cuenta las entidad Entidades: 7792, Colegios: 1845, Subredes: 707,  funcionarios han obtenido el incentivo que dispone el Artículo 5 de la Ley 1811 de 2016 Entidades: 322, Colegios: 129, Subredes: 13. Adicionalmente, se firmó el acta del contrato que tiene como objeto "… SISTEMA DE BICICLETAS COMPARTIDAS (SBC), SUJETO A SU PRESERVACIÓN, BUEN USO, DISFRUTE COLECTIVO Y SOSTENIBILIDAD" 4.Más bici para todas y todos: Para la promoción del uso de la bicicleta a Subdirección de la Bicicleta y el Peatón propicio un espacio de encuentro con la comunidad bicimensajera de Bogotá para el cumplimiento del plan de acción y se concertó un espacio con la Secretaría Distrital de Desarrollo Económico para la explicación de la ruta de fortalecimiento Ruta Bogotá E, en el que se dictan talleres para emprendimientos o ideas de emprendimiento. Se acompañaron los talleres participativos con comunidad ciclistas dados por el IDPC en el marco de la declaratoria de la cultura de la bicicleta como patrimonio cultural de Bogotá. También se realizaron jornadas de diálogos ciclistas, donde se abordó el tema de Género y Bicicleta y se acompañó el desarrollo de la elección de las y los consejeros locales de la bicicleta
</t>
  </si>
  <si>
    <t xml:space="preserve">En cuanto a la encuesta que se le realiza a las entidades publicas, esta no fue diligenciada por todas las entidades, lo que dificulto el registro de los datos, en este sentido, se resalta que en el transcurso de los meses puede que los datos tengan variaciones, considerando que mayor cantidad de entidades registren los resultados pertinentes. </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</si>
  <si>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aportan en la reducción de los siniestros viales y el hurto de bicicletas al que están expuestos los ciclistas de la ciudad y brindan las condiciones físicas, culturales y socioeconómicos para que los ciclistas ejerzan su derecho a disfrutar de la ciudad en Bicicleta.</t>
  </si>
  <si>
    <t>En lo corrido del Plan Distrital de Desarrollo se ha logrado el aumento del número de vehículos de cero y bajas emisiones con un resultado a febrero de 2022 de 5463  vehículos de cero y bajas emisiones registrados, 3396 de éstos son vehículos eléctricos y 2067 vehículos dedicados a gas natural vehicular en cuanto a los puntos públicos de carga rápida se está creando el marco legal, actualmente la ciudad cuenta con 5 puntos de carga rápida, 4 nuevas desde la entrada en vigencia del PDD.</t>
  </si>
  <si>
    <t xml:space="preserve">No se presentan retrasos. </t>
  </si>
  <si>
    <t>Aumentar la flota de transporte de cero y bajas emisiones se refleja en menor cantidad de material particulado y gases de efecto invernadero emitidos. Esto contribuirá en beneficios de salud pública para la ciudadanía.</t>
  </si>
  <si>
    <t>Durante lo corrido Plan de Desarrollo se ha avanzado en un 57% en la implementación de un sistema de bicicletas públicas, en 2021 se logro la adjudicación del proceso de licitación y en 2022 se firmó el Acta de inicio del contrato el 4 de Febrero de 2022 entre la Secretaría Distrital de Movilidad - SDM y el Contratista, en el marco del contrato de administración, Mantenimiento y Aprovechamiento Económico del Espacio Público (CAMEP) No. 2022-63, cuyo objeto es: “CONTRATAR LA ADMINISTRACIÓN, MANTENIMIENTO Y APROVECHAMIENTO ECONÓMICO DE ZONAS DE USO PÚBLICO PARA DESARROLLAR LA ACTIVIDAD DE ALQUILER DE VEHÍCULOS DE MICROMOVILIDAD – SISTEMA DE BICICLETAS COMPARTIDAS (SBC), SUJETO A SU PRESERVACIÓN, BUEN USO, DISFRUTE COLECTIVO Y SOSTENIBILIDAD" se avanza con la entrega de los siguientes productos: - Plan de Trabajo y Cronograma - Presentación de la propuesta de Cartilla de mobiliario urbano de las estaciones del SBC y los ciclotalleres - Entrega de 224 puntos potenciales de ubicación de estaciones. - Presentación de plan de marca - Presentación de Plan de gestión social Paralalemente, el equipo de la SDM adicional a la revisión y aprobación de los informes presentados por el contratista trabajó en lo siguiente: - Estrategia de ubicación de los 300 ciclotalleres del sistema - Definición de puntos de los cicloparqueaderos a implementar en el marco de la retribución del sistema - Se llevaron a cabo mesas técnicas con el contratista y las diferentes entidades distritales encargadas de dar los permisos para la ubicación en el espacio público de estaciones, ciclotalleres y cicloparqueaderos, entre ellas: IDU, DADEP, IDRD, y otros equipos de la SDM que llevan a cabo sus aprobaciones tales como la subdirección de la señalización, de infraestructura y de Planes de manejo de Tránsito PMTs.</t>
  </si>
  <si>
    <t>Mediante el Sistema de Bicicletas Compartidas se espera generar nuevos viajes diarios en bicicleta, beneficiando no sólo a los usuarios del mismo, sino también contribuyendo en el descongestionamiento del Sistema de Transporte Público, y a su vez reduciendo las emisiones de CO2 debido al cambio de modos motorizados que incentiva este sistema.
 En el mediano / largo plazo, estos sistemas incentivan que nuevos ciudadanos se vuelvan bici usuarios y cambien su modo de transporte motorizado actual no sólo por el Sistema de Bicicletas Compartidas per-se, sino también por su propia bicicleta mecánica o eléctrica.</t>
  </si>
  <si>
    <t>En lo corrido del Plan Distrital de Desarrollo la Secretaría Distrital de Movilidad avanza en un 53,75% en la implemetación de la  estrategia para el fomento de la micromovilidad, así:
-Construcción y publicación del protocolo de la actividad "Alquiler de vehículos de micromovilidad" mediante la Resolución No. 86572.
-Expedición de la regulación de provisión de servicio de la actividad de micromovilidad mediante la resolución No. 93495.
- Se gestionó con Secretaría de Ambiente la expedición de la resolución No. 03815 "Por medio de la cual se determinan las características y condiciones de instalación de elementos de publicidad exterior visual en los vehículos y sus accesorios y elementos que conforman el sistema de movilidad individual en Bogotá D.C”
- Aprobación del Acuerdo 811 de 2021 que: 1. Permite la Publicidad Exterior Visual en vehículos de micromovilidad y 2. Permite a la Administración Distrital regular la provisión del servicio ante el Concejo Distrital.
- Publicación de la Circular 13 de 2020 "Lineamientos para la expedición de permisos temporales de alquiler de vehículos de micromovilidad de acuerdo a lo dispuesto en el Decreto Distrital 121 de 2020, en el marco de la situación excepcional de calamidad pública por el COVID-19."
- Publicación de la Circular 11 de 2021 "Lineamientos para la expedición de permisos temporales de alquiler de vehículos de micromovilidad de acuerdo a lo dispuesto en el Decreto Distrital 073 de 2021, en el marco de la situación excepcional de emergencia sanitaria por el COVID-19."
- Avance en la Resolución que determina las condiciones para otrogar permisos de micormovilidad (en construcción)
- Avance en la construcción del procedimiento interno para otorgar permisos de micromovilidad (en construcción)</t>
  </si>
  <si>
    <t>Establecer un nuevo esquema de ciudad mediante la promoción alternativas de micromovilidad en la ciudad, entendida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'última milla' que conecta a los viajeros a las paraderos o estaciones del transporte público, lo cual ayuda notoriamente a descongestionar el tran</t>
  </si>
  <si>
    <t>La Secretaría Distrital de Movildad SDM ha trabajado con la Secretaría Distrital de Ambiente SDA en la construcción del Plan Aire que será la hoja de ruta para la reducción de la concentración de material particulado.
La SDA en el marco del cáculo para el cumplimiento de la meta de la concentración promedio ponderado de ciudad de material partículado PM10 reporta a marzo de 2022 :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31 de marzo: 35,6 microgramos por metro cubico. Correo OlgaQ.18042022.
-En conjunto con la Secretaría Distrital de Ambiente, se consolido el documento y los cálculos del Inventario de Emisiones de contaminantes locales para el año 2020.
-En alianza con ICLEI-Gobiernos Locales por la Sostenibilidad, se avanzó en la estructuración del Plan de Logística Baja en Carbono, por medio del cual se definen las acciones para disminuir las emisiones del sector logístico en Bogotá-Región y se avanzó en los términos de referencia para el proyecto de desconsolidación de transporte de carga de última milla con vehículos de cero emisiones
En 2021, las SDA y SDM, con la Financiera de Desarrollo Nacional, realizaron el contrato del diseño del vehículo financiero. El contrato contempló las siguientes etapas:
E1. Identificación de fuentes potenciales
E2. Priorización de tecnologías
E3. Diseño del vehículo financiero y análisis de bancabilidad
E4. Ruta de implementación y socialización
Resultado de dicho proceso, en diciembre 2021, a través del artículo 32 de la Ley 2169 de 2021, se creó el Fondo Distrital para la Promoción del Ascenso Tecnológico de la carga urbana en Distrito Capital. Dicho lo anterior, la SDM y SDA a partir de enero de 2022, avanzan en las actividades que son necesarias para la implementación del fondo distrital de carga de acuerdo con lo previsto en la hoja de ruta del fondo. En este primer trimestre se han desarrollado diferentes mesas de trabajo y articulación con entidades e instituciones con el fin de realizar los acercamientos necesarios para lograr la estructuración del proyecto.</t>
  </si>
  <si>
    <t>Disminuir la concentración de material particulado, lo cual se refleja en beneficios en salud pública para la ciudadanía.
 Se considera relevante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 viajes a pie.
 Por tanto, se busca que Bogotá se convierta en una ciudad donde la ciudadanía y especialmente las mujeres y los niños puedan caminar para tener acceso a todo tipo de servicios y al transporte público en virtud de mejorar la calidad de vida.</t>
  </si>
  <si>
    <t>En cifras preliminares, durante el período enero-marzo 2022 se perdieron 124 vidas (46 peatones, 44 motociclistas, 18 ciclistas, 12 pasajeros y 4 conductores) resultando un aumento del 13% frente a las muertes registradas en el año 2019. Se resalta que se han logrado salvar 6 vidas de peatones lo que ha representado una reducción del 12% con respecto a 2019, 5 vidas salvadas adultos mayores con una reducción del 16% al 2019 y 23 víctimas fatales mujeres con un aumento de 15% a comparacion del 2019, Esta información fue tomada del SIGAT el 04-04-2022. Algunas acciones del PDSV 2017-2026 realizadas para lograr disminución de fatalidades en siniestros de tránsito, son:
Eje 1: Institucionalidad y gestión de la Seguridad Vial: Análisis siniestralidad vial en torno a fatalidad de los actores más vulnerables, identificación puntos críticos, seguimiento a fallecidos, análisis IPATs, entre otros. Articulación Secretaría Cultura y Desarrollo Económico, Innpulsa Colombia, U. Bosque, Transmilenio, Alta Consejería para TICs, Organización Panamericana Salud para promover iniciativas de innovación para seguridad via. Articulación Secretaría Educación para desarrollo estrategias orientadas a CEA para fortalecer formación de nuevos conductores. Apoyo en construcción y/o ajustes a Documentos Técnicos con impacto en seguridad vial Eje 2: Actores de la vía, comunicación y cultura vial: Coordinación jornadas capacitación dirigidas a conductores SITP (Mas de 170 sesiones) y de sensibilización en vía en puntos críticos operación sistema (Mas de 10 jornadas) Estrategia de trabajo con empresas de la RESV de acciones que contrarresten efectos negativos del transporte carga por las obras de Bogotá Eje 3: Víctimas: Se atendieron 125 nuevas víctimas de siniestros viales (14 conductores, 52 motociclistas, 13 pasajeros, 28 ciclistas, 18 peatones). Se realizaron 125 citas de acogida, 61 de orientación jurídica, 81 de orientación social y 152 de orientación psicológica, para un total de 419 citas. Eje 4: Infraestructura Segura: Inició etapa preliminar implementación proyectos peatonales localizados en Bosa Nova y Arborizadora Alta. Apoyo en procesos de entrega de plazoleta de Galerías/San Felipe y propuesta prediseño Barrios Vitales de las Cruces y la Victoria, y corredor Cra 10. Entre el 1 de enero al 30 de marzo, se implementaron 903 medidas integrales gestión tránsito, 2.070 pasos peatonales demarcados y 146 Instituciones Educativas beneficiadas Eje 5: Control para la seguridad vial, tecnología y vehículos: Implementación estrategia Controles Salvavidas horario nocturno para disminuir velocidad en puntos críticos de la ciudad, especialmente los motociclistas 325 controles de velocidad y 3.628 comparendos por exceso de velocidad C29. Adicionalmente, se impusieron 104.365 comparendos C29 mediante operación de Cámaras Salvavidas. En cuanto controles de embriaguez, se realizaron 265 controles y 536 comparendos F</t>
  </si>
  <si>
    <t>en cifras preliminares, se perdieron 124 vidas (46 peatones, 44 motociclistas, 18 ciclistas, 12 pasajeros y 4 conductores) un aumento del 13% frente a las cifras de 2019. Debido por el virus COVID-19 que impactaron de forma negativa a las buenas prácticas en seguridad vial, especialmente en el tema de velocidad se continúan presentando siniestros por exceso de velocidad sin respetar los límites de 50 km/h. El motociclista fue el actor vial con más incremento en cifras de siniestralidad, se desarrollaron mesas de trabajo con varias Entidades Distritales en conjunto con líderes de clubes y asociaciones de motociclistas para plantear estrategias que mejoren la movilidad y reduzcan la siniestralidad, Se seguirá implementando medidas que ayuden a mitigar la siniestralidad de todos los actores viales, utilizando medios tecnológicos que regulen el límite de velocidad en las vías, proponer soluciones de pre-diseños, desarrollar estrategias pedagógicas del cuidado al peatón para mitigar la siniestralidad entre motociclista y este actor vial, evaluar viabilidad de adoptar infraestructura exclusiva para motociclistas, entre otras.</t>
  </si>
  <si>
    <t>Se realizaron distintos análisis de siniestralidad vial en torno a fatalidad de los actores más vulnerables, identificación de puntos críticos, seguimiento a fallecidos, análisis de IPATs, entre otros.</t>
  </si>
  <si>
    <t>En cifras preliminares, durante el período enero-marzo 2022 se registra 46 víctimas fatales entre 14 y 28 años con un aumento del 44% comparado al 2019. Esta información fue tomada del SIGAT el 04-04-2022. Algunas acciones del PDSV 2017-2026 realizadas para lograr disminución de fatalidades en siniestros de tránsito, son:
Eje 1: Institucionalidad y gestión de la Seguridad Vial: Análisis siniestralidad vial en torno a fatalidad de los actores más vulnerables, identificación puntos críticos, seguimiento a fallecidos, análisis IPATs, entre otros. Articulación Secretaría Cultura y Desarrollo Económico, Innpulsa Colombia, U. Bosque, Transmilenio, Alta Consejería para TICs, Organización Panamericana Salud para promover iniciativas de innovación para seguridad vial. Articulación Secretaría Educación para desarrollo estrategias orientadas a Centro de Enseñanza Automovilizticos para fortalecer formación de nuevos conductores. Apoyo en construcción y/o ajustes a Documentos Técnicos con impacto en seguridad vial Eje 2: Actores de la vía, comunicación y cultura vial: Coordinación jornadas capacitación dirigidas a conductores SITP (Mas de 170 sesiones) y de sensibilización en vía en puntos críticos operación sistema (Mas de 10 jornadas) Estrategia de trabajo con empresas de la RESV de acciones que contrarresten efectos negativos del transporte carga por las obras de Bogotá Eje 3: Víctimas: Se atendieron 125 nuevas víctimas de siniestros viales (14 conductores, 52 motociclistas, 13 pasajeros, 28 ciclistas, 18 peatones). Se realizaron 125 citas de acogida, 61 de orientación jurídica, 81 de orientación social y 152 de orientación psicológica, para un total de 419 citas. Eje 4: Infraestructura Segura: Inició etapa preliminar implementación proyectos peatonales localizados en Bosa Nova y Arborizadora Alta. Apoyo en procesos de entrega de plazoleta de Galerías/San Felipe y propuesta prediseño Barrios Vitales de las Cruces y la Victoria, y corredor Cra 10. Entre el 1 de enero al 30 de marzo, se implementaron 903 medidas integrales gestión tránsito, 2.070 pasos peatonales demarcados y 146 Instituciones Educativas beneficiadas Eje 5: Control para la seguridad vial, tecnología y vehículos: Implementación estrategia Controles Salvavidas horario nocturno para disminuir velocidad en puntos críticos de la ciudad, especialmente los motociclistas 325 controles de velocidad y 3.628 comparendos por exceso de velocidad C29. Adicionalmente, se impusieron 104.365 comparendos C29 mediante operación de Cámaras Salvavidas. En cuanto controles de embriaguez, se realizaron 265 controles y 536 comparendos F</t>
  </si>
  <si>
    <t xml:space="preserve"> Debido por el virus COVID-19 que impactaron de forma negativa a las buenas prácticas en seguridad vial, especialmente en el tema de velocidad se continúan presentando siniestros por exceso de velocidad sin respetar los límites de 50 km/h. El motociclista fue el actor vial con más incremento en cifras de siniestralidad, se desarrollaron mesas de trabajo con varias Entidades Distritales en conjunto con líderes de clubes y asociaciones de motociclistas para plantear estrategias que mejoren la movilidad y reduzcan la siniestralidad, Se seguirá implementando medidas que ayuden a mitigar la siniestralidad de todos los actores viales, utilizando medios tecnológicos que regulen el límite de velocidad en las vías, proponer soluciones de pre-diseños, desarrollar estrategias pedagógicas del cuidado al peatón para mitigar la siniestralidad entre motociclista y este actor vial, evaluar viabilidad de adoptar infraestructura exclusiva para motociclistas, entre otras.</t>
  </si>
  <si>
    <t>Entre el 1 al 30 de marzo, se implementaron 361 medidas integrales de gestión de tránsito, se demarcaron 751 pasos peatonales y se han beneficiado 66 Instituciones Educativas</t>
  </si>
  <si>
    <t>Se han realizado las siguientes acciones:
Transmilenio y la Secretaría Distrital de Movilidad vienen revisando la opción de prestar servicio a Sumapaz a través del SITP, el ente gestor revisa las condiciones técnicas, financieras y tecnológicas para esta alternativa.
- En el proyecto de carriles preferenciales, el primer trimestre del año culminó el diseño del mantenimiento de la señalización de 29.2 km-carril correspondiente al corredor de la av. NQS, de los cuales se han implementado 5.46 km- carril en el tramo comprendido entre la AK 68 y la av. Primero de Mayo.
*Videos Paraderos Accesible y Flota vehicular accesible: junto con la Oficina Asesora de Comunicaciones y Cultura para la Movilidad (ACCM) se realizaron dos videos en el cual se describen los paraderos del SITP zonal y su accesibilidad, así como la flota vehicular nueva incorporada (Énfasis en puerta de acceso elevador, sillas PcD, espacio ayuda viva, perro guía, entre otros)
* Se realizaron trimestralmente mesas de seguimiento a la tutela, de acuerdo con lo establecido en la Resolución 246 de 2015 con la participación de TM, IDU, DADEP, UMV, FDL ACDTICs y Secretaria Jurídica de la Alcaldía Mayor
En cuanto al Plan de Movilidad Accesible se realizó segumiento constante a los indicadores de cada uno de los cinco ejes de acción, de igual manera se realiza la mesa de seguimiento mensual a la implementación de paraderos del servicio zonal-alimentación del SITP en cumplimiento de lo estipulado en la resolución 269 de 2020 Paraderos.</t>
  </si>
  <si>
    <t>No se han presentado retrasos</t>
  </si>
  <si>
    <t>Implementar acciones que permitan reducir las barreras de acceso el Sistema Integrado de Transporte Público (SITP) que han sido generadas por los altos gastos en transporte en que deben incurrir las poblaciones de menores ingresos, limitando su acceso a los bienes y servicios que ofrece la ciudad, esenciales para su desarrollo humano, a la vez que se mejoran las condiciones bajo las cuales se presta el servicio.</t>
  </si>
  <si>
    <t>Si bien la meta se da por ejecutada una vez se culmine el estudio a continuacion se prsenta el avance:
Cable Aéreo Ciudadela Sucre- Sierra Morena o Potosí Sierra Morena (ciudad Bolívar)
El IDU ha suscrito un convenio con la Agencia Francesa de Desarrollo que analizará la cuenca comprendida entre la Av. Villavicencio, la Autopista Sur y el límite del Distrito. Dichos estudios definirán cuál de los dos cables previstos en el POT en esta cuenca debe priorizarse (cable ciudadela sucre o Potosí
Sierra Morena).
El 20 de diciembre de 2021 la Agencia adjudicó el contrato para desarrollar los -ESTUDIOS DE FACTIBILIDAD y el 13 de enero de 2022 se dio inicio al contrato cuya duración es de 9 meses-.</t>
  </si>
  <si>
    <t>No presenta retrasos se esta avanzando  en las etapas antecesoras a la construcción de acuerdo al ciclo de vida del proyectoNo presenta retrasos</t>
  </si>
  <si>
    <t xml:space="preserve">El cable de san cristobal  beneficiará  a  más de 400 mil habitantes de la localidad en 2.8 km de línea con tres estaciones.
Respecto a la estructuración de otros cables, el Cable reencuentro Monserrate.  tendra  más de 7 kilómetros que se conectara con el corredor verde la la séptima en inmediaciones del Museo Nacional y elcentro internacional y conectara el sector universitario los barrios los Laches, El Consuelo, El dorado con la estación bicentenario de Transmilenio y con la PMLM en el parque tercer Milenio. </t>
  </si>
  <si>
    <t>En lo que va corrido del Plan de Desarrollo, el Sector Movilidad ha logrado la conservación de 66,56km de cicloinfraestructura. En lo que respecta a la vigencia 2022, a marzo se logró la conservación de 9,7 km. A continuación el detalle por entidad. 
IDU - En lo corrido del plan de desarrollo se han conservado 13,07 km de ciclorrutas a través de los contratos IDU-1639-2019 MANT ESP PUBLICO Y CICLORUTA e IDU-1300-2020, IDU-1272-2020
IDU-1691-2020 MANT ESP PUBLICO Y CICLORUTA
IDU-1695-2020 CONSERVACION MVI
IDU-1272-2020 MANTENIMIENTO DE ESPACIO PUBLICO Y CICLORUTA
con los cuales se alcanza un 11,88% de avance frente a la meta del PDD
UMV - En 2022 se ejecutaron 8,50 Km en la Cicloinfraestructura que corresponden a 103 segmentos, en las localidades de Kennedy y Suba del Distrito Capital.
Durante el primer trimestre se realizaron intervenciones en las cicloinfraestructuras de: El Porvenir, Tintal y el Humedal Juan Amarillo.
SDM - En lo transcurrido del Plan de Desarrollo se han mantenido 8,73 km de cicloinfraestructura existente, esta intervención se realizó 5 localidades las cuales son: Kennedy, Suba, Santa Fe, Teusaquillo y Fontibón, se realizó la priorización de la cicloinfraestructura existente en las diferentes vías del Distrito, posteriormente se realizó la asignación al contrato de obra correspondiente a cada zona, para su mantenimiento en campo, bajo la supervisión de actividades por parte de la Entidad. Las principales ciclorrutas a las cuales se les ha adelantado mantenimiento fueron las siguientes: Av. Boyacá, KR 59A entre AC 134 y CL 135. KR 16 entre CL 35 y CL 36 y entre CL 60 y CL 61. CL 17 entre KR 98 Y KR 100 y entre KR 116A y 124. CL 17 entre KR 97A KR 136, Plaza Galerías (Calle 53B entre Carrera 24 y Carrera 25).
En lo que respecta a la vigencia del año 2022 se han mantenido 0,08 km de cicloinfraestructura existente 0.04 en enero y 0.04 en Marzo. Teniendo en cuenta la emergencia sanitaria es indispensable realizar estos mantenimientos con el fin de garantizar condiciones de operación, estas actividades se ejecutaron en la localidad de Teusaquillo. Las ciclorrutas a las cual se le ha adelantado mantenimiento son la Plaza Galerías (CL 53B entre KR 24 Y KR 25) y en la localidad de Mártires.</t>
  </si>
  <si>
    <t>No se reportan retrasos en la meta. Sin embargo, se precisa que por directriz de la Secretaría Distrital de Movilidad se está apoyando en la adecuación de una cicloruta temporal (costado sur de la calle 13 entre las carreras 97 y 135), desde el 4 de enero de 2021, con una disposición del 100% por parte del grupo de cicloinfraestructura para el cumplimiento de esta instrucción. Por esta razón este mes de Junio, aunque ya se evidencia un avance mayor,  se empezaron a atender actividades de conservación y se encuentran en su mayoría en ejecución.
Solucion: Se continuará con los trabajos de conservación  y se espera presentar  un avance representativo en el mes de julio.
SDM - Indicador : Kilómetros de ciclorruta conservados
No se reportan retrasos.</t>
  </si>
  <si>
    <t>El mantenimiento de ciclo-infraestructura en la ciudad ha logrado mantener  las condiciones de seguridad vial, conectividad entre tramos existentes, ya que se mejoró la infraestructura existente para que sean zonas adecuadas y exclusivas para la circulación de los Biciusuarios. Adicionalmente en la medida que los diferentes actores viales han conocido  y  respetado dichas zonas, estas han cumplido con su función haciendo que el desplazamiento de los mismos por las vías se haya realizado de manera más segura y ágil.</t>
  </si>
  <si>
    <t>En lo que va corrido del Plan de Desarrollo, a marzo de 2022 por parte del Sector Movilidad se ha logrado la conservación de  1.156 km carril de malla vial.  En lo que respecta a la vigencia 2022 se logró la conservación de 271,09 km. A continuación el detalle por entidad:
IDU -  Con corte a 31 de Marzo de 2022 se tienen programada la contratación para conservar 519.44 km-carril en las mallas viales de la ciudad y presenta un avance de 300.65 km-carril que frente a la meta plan de desarrollo de 938 km carril equivale al 32,32% de cumplimiento, acciones que se han
realizado a través de los programas de conservación así:
MANTENIMIENTO DE 139,71 KM-CARRIL MALLA VIAL ARTERIAL
MANANTENIMIENTO 119,08 KM-CARRIL DE MALLA VIAL INTERMEDIA
REHABILITACION DE 1,60 KM-CARRIL DE MALLA VIAL INTERMEDIA
REHABILITACION DE 25,99 KM-CARRIL DE MALLA VIAL RURAL
MANTENIMIENTO DE 13.52 KM-CARRIL DE MALLA VIAL LOCAL
UMV - De acuerdo con lo programado se presenta un avance en obra de 43,68%, se intervinieron 196.78 km-carril de malla vial local e intermedia, 3.82 km- carril de obra de malla vial arterial y 2.33 km- carril de malla vial rural para un total de 202.93 km carril intervenidos y se taparon un total de 142.254 huecos.
Entre las principales vías intervenidas se destacan Santa Lucia Transversal 19 sur, La Castella Carrera 48, 20 de Julio Calle 22 sur, Autopista Musu, Villa Alsacia 2 Calle 10, Chico Norte Calle 96, Comuneros Calle 4, Carrera 9 entre calles 100 y 140, Conexion Bosa Soacha Calle 31 sur, Fontibon Calle 22d,
Calle 13 Sector 92a 138, entre otras.
Así mismo las intervenciones realizadas corresponden a:
Parcheo/Bacheo, Cambio de carpeta, Rehabilitación en flexible, Cambio de losa, Rehabilitación en rígido, Sello de fisuras, y fresado estabilizado.
Es importante destacar que la UAERMV ha logrado beneficiar alrededor de 3.560.997 habitantes del distrito capital, reduciendo sus tiempos de desplazamiento y mejorando las condiciones de movilidad, seguridad y calidad de vida</t>
  </si>
  <si>
    <t>En cuanto a la conservación de malla vial, se pretende mantener en buen estado lla malla vial arterial, intermedia y tratar que las  curvas de deteriodo de dichas malla no disminuya con lo cual se disminuyen costos en las intervenciones a futuro a realizar.</t>
  </si>
  <si>
    <t>El avance acumulado PDD entre julio de 2020 y marzo de 2022 equivale a un total de 114.874 estudiantes a través de los tres proyectos de Ciempiés, Al Colegio en Bici y Ruta Pila. Frente a los viajes realizados a través de los cuales se han beneficiado los estudiantes, se cuenta con un total de 596.698 viajes de los cuales corresponden 431.274 a Al Colegio y Bici y 165.424 a Ciempiés, 85 visitas a colegios y 6.288 vehículos de transporte escolar controlados mediante Ruta Pila. En lo que respecta a la vigencia 2022, se beneficiaron 44.807 estudiantes con el inicio de la operación a la par que el calendario escolar en las 15 localidades donde operan los proyectos "Al Colegio en Bici" y "Ciempiés Caminos Seguros" ya se han abierto casi en su totalidad las caravanas con los diferentes colegios, alcanzando los más de 100 en las 15 localidades. A continuación, el detalle:
*. El proyecto Al Colegio en Bici: para este periodo, ha logrado beneficiar a 3.843 estudiantes matriculados en instituciones educativas distritales de las 15 localidades donde opera. De los 3.843 estudiantes beneficiados 2.278 se encuentran entre los 5 y los 12 años de edad, y 1.565 de 13 en adelante. Adicionalmente 1.564 son niñas y 2.279 son niños. Por último, en tipo comunidad a la fecha se tiene 12 estudiantes pertenecientes a la comunidad afro y 10 a la comunidad indígena. *. Ciempiés:  se logró beneficiar a 1487 estudiantes matriculados en las instituciones educativas distritales de 6 localidades que son, Kennedy, Bosa, Suba, Usaquén, Ciudad Bolívar y Los Mártires. De los 1.487 estudiantes 1342 están entre los 5 a 13 años y 145 de 14 años en adelante. Adicionalmente, 741 son niñas y 746 niños. *. Control vehicular: Con los 78 operativos realizados en el primer trimestre, se ha logrado beneficiar a 39.477 estudiantes que se desplazan en rutas escolares verificando las condiciones de seguridad y cumplimiento normativo en materia de tránsito y transporte, con el objetivo de mejorar la calidad de viaje de la población que se desplaza en este medio de transporte desde y hacia sus instituciones educativas. Ahora bien, en conjunto con la Secretaría de Educación Distrital, se ha venido trabajando en un inicio del calendario escolar, con la prestación del servicio de acompañamiento en las carvanas de Ciempiés y Al Colegio en Bici, lo cual afianza las relaciones con la comunidad y confiabilidad en la calidad del servicio que prestan los proyectos. Frente al proyecto Ruta Pila se vienen realizando operativos de control, revisión y seguimiento de las condiciones de seguridad y el cumplimiento normativo en materia de tránsito y transporte por parte de los vehículos de transporte escolar, con el objetivo de mejorar la calidad de viaje de los estudiantes que se desplazan en este medio de transporte desde y hacia sus instituciones educativas. Estos operativos se desarrollan en las instituciones educativas y los principales corredores viales de la ciudad.</t>
  </si>
  <si>
    <t>La condición de pandemia continúa retrasando el reinicio de las clases presenciales en las instituciones educativas de la ciudad, afectando significativamente el inicio de operación de Ciempiés y Al Colegio en Bici ABC, y la realización de actividades de prevención y control de vehículos de transporte escolar realizados por el programa  Ruta Pila. Se realizó rápida gestión de contratación desde la SDM. Adicionalmente se adelantó la gestión con Instituciones Educativas, para el incio de la operación en parques, de caminos seguros y rutas de confianza. Adicionalmente, se implementaron salidas los sábados, actividades en vacaiones y viajes extra en los recorridos.</t>
  </si>
  <si>
    <t>Con las acciones adelantadas, se lograron los siguientes beneficios:
*Mejoras a la experiencia de viaje mediante la enseñanza de conocimientos en movilidad, cultura vial y modos sostenibles de transporte que las niñas y niños podrán aplicar una vez caminen de regreso a sus colegios.
*Acompañamiento a los recorridos de las NNA hacia los parques y espacios públicos de manera segura.
*Brindar espacios más seguros y eficientes para el
desplazamiento diario de la población infantil y adolescente en Bogotá. 
*Creación de espacios para que la población escolar explore su entorno de manera segura y feliz. Esto, con el objetivo de que reconozcan su ciudad, la disfruten y se apropien de ella. 
*Coadyuvar al acceso y la permanencia en las instituciones educativas, realizar actividad física, incentivar el deporte como hábito y práctica saludable para sus vidas.
*Aportes al proceso formativo de niñas, niños y adolescentes a través de las actividad física al aire libre, acciones pedagógicas y recreativas.
* Beneficios asociados a la actividad física, dentro de los cuales se encuentran impactos a la salud corporal y mental.</t>
  </si>
  <si>
    <t>En lo corrido del plan de desarollo , se ha ejecutado un total de 18,86 km/carril de vía , correspondiente al 12,92 % de cumplimiento del la meta PDD en avances en las siguientes obras:
AV. TINTAL DE AV. V/CIO. A AV. BOSA. IDU-1543-2018
AV ALSACIA (AV BOYACÀ - AV CALI) IDU-1539-2018
AV. ALSACIA (AV TINTAL A AV CALI) IDU-1540-2018
AV BOSA DESDE AV C CALI HAST AV TINTAL IDU-1533-2018
AV.JOSÉ C.MUTIS DE AK. 70- AV.BOYACA IDU-1851-2015
AV.ELRINCON KR91 AC131A D CR91 AV.CONEJE IDU-1725-2014
AV.L.GOMEZ AK9 D CL183 A CL193 IDU-1551-2017
AV.EL RINCON DE AV.BOYACA A CRA.91 IDU-1550-2018
TRONCAL CARACAS TR 1 EST. ALIMENTADORA IDU-1601-2019
AV CERROS - AV CIRCUNVALAR - IDU-1348-2021
En cuanto a la estructuración de proyecto Av. Centenario entre carrera 50 y el límite del distrito como parte del borde occidental. se suscribió convenio con la Gobernación y la Nación. El proyecto tiene una extensión de cerca de 18 km ( Calle 13, ALO centro e intercambiador en la calle 80 a la altura del Rio Bogotá), se ha avanzado en la estructuracion de fuentes de financiacion del proyecto.</t>
  </si>
  <si>
    <t>Con la contratación de las etapas antecesoras  se pretende avanzar en el ciclo de vida de los proyectos  y por otra parte con la  la contrucción de nuevas  vias se  espera  ejecutar proyectos integrales incluyendo en su desarrollo entre otras la planeación, evaluación y priorización de proyectos y la construcción de la infraestructura requerida bajo los parámetros de diseño que concuerden con la denominación de las vías y andenes  según el Plan de Ordenamiento Territorial POT, garantizando especificaciones técnicas que hagan posible una movilidad eficiente para optimizar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t>
  </si>
  <si>
    <t>En lo corrido del Plan de Desarrollo y con corte a junio de 2021, el Sector Movilidad ha logrado la construcción de 49,71 km de cicloinfraestructura. En lo que respecta a la vigencia 2022, se logró la construcción de 3,16 km. A continuación el detalle por entidad:
IDU - En lo corrido del plan de desarrollo, se ha ejecutado un total de 6,03 km de ciclorruta que representan el 2,69% de avance frente a la meta del Plan del idu de 224 km y distribuidos de la siguiente manera:
AV. TINTAL DE AV. V/CIO. A AV. BOSA. IDU-1543-2018
AV BOSA DESDE AV C CALI HAST AV TINTAL IDU-1533-2018
AV.JOSÉ C.MUTIS DE AK. 70- AV.BOYACA IDU-1851-2015
AV.ELRINCON KR91 AC131A D CR91 AV.CONEJE IDU-1725-2014
CICLO RUTA CL 116 - CRA 11 - CRA 50 - IDU-1828-2015
CANAL MOLINOS ENTRE AK 9 Y AUTONORTE IDU-1538-2020
TRONCAL CARACAS TR 1 EST. ALIMENTADORA IDU-1601-2019
AV ALSACIA (AV BOYACÀ - AV CALI) IDU-1539-2018
PUENTE VEHICULAR AUTO NORTE POR CL 153 IDU-1737-2021
ANDENES CL92 Y CL94 DE CR 7 A AUTONORTE IDU-1279-2020
TRONCAL AVENIDA 68 IDU-348-2020
En cuanto al porcentaje de ejecución de los diseños y las obras requeridas en el proyecto Ciclo-Alameda Medio Milenio, el proyecto de estudios y diseños se encuentra en un avance del 53%, la Etapa de Estudios y Diseños se prorrogó 3.3. meses, teniendo como fecha de terminación el 11 de Mayo 2022, más dos meses adicionales de aprobaciones para una fecha final de contrato del 11 de Julio de 2022, a la fecha la Consultoría está entregando a la Interventoría los avances de los componentes para su revisión.
Una vez terminados los estudios y diseños a cargo del mencionado Contratista, la Entidad con los productos terminados y aprobados realizará el respectivo proceso de contratación para la posterior ejecución de las obras, cuya proyección de contratación está prevista para finales el segundo semestre del
2022, conforme a lo cual el inicio del contrato de obra se tiene previsto hacia inicios del año 2023.
SDM - En lo transcurrido del Plan de Desarrollo se han implementado 43.68 km de ciclorruta en diferentes localidades tales como: Fontibón, Kennedy, Usaquén, Suba, Barrios Unidos, San Cristóbal, Santa Fé, Candelaria, Chapinero y Teusaquillo. Se realizó la priorización de los corredores viales en los cuales se
evaluó la viabilidad de la implementación de las ciclorrutas segregadas en calzada. Posteriormente se realizó el diseño de señalización correspondiente, la asignación al contrato de obra de cada zona para su implementación en campo, bajo la supervisión de actividades por parte de la Entidad. Los
principales proyectos de ciclorruta a destacar son los siguientes: Par vial AK 7 y KR 8 entre Calle 12B y Calle 22 Sur. AK 7 entre Calle 32 y Calle 106. AC 13 entre Carrera 100 y Carrera 135. AK 9 entre Calle 170 y 127, AK 11 entre Calle 127 y Calle 116 y Calle 106 entre AK 11 y AK 7. Carrera 73 entre Av.
Boyaca y AV. Primero de Mayo. Plaza Galerias (Calle 53B entre Carrera 24 y Carrera 25).
En lo que respecta a la vigencia del año 2022, se han implementado 2,10 km de ciclorruta; esta implementación de nuevas ciclorrutas en calzada ha permitido incentivar el uso de modos de transporte alternativos sostenibles y mas seguros teniendo en cuenta la emergencia sanitaria por la que atraviesa el
país. Dichas actividades se han ejecutado en 1 localidad (Teusaquillo) del Distrito capital, demarcación que se realiza sobre vías locales, intermedias y arteriales.
Los principales proyectos de ciclorruta a destacar son los siguientes: Plaza Galerías (CL 53B entre KR 24 Y KR 25) y en febrero en suba la KR 91 con AC 127 hasta KR 85 con calle 128 B.
En cuanto al indicador de kiloómetors de ciclovía temporal, los avances y logros para el primer trimestre del 2022 se realizaron de la siguiente manera:
Al finalizar marzo se encuentran en operación 14 Km en los siguientes corredores:
- Av. Américas desde la carrera 28 hasta la carrera 50
- Carrera 24 entre Avenida Boyacá y Avenida 1o de Mayo
- Av. Carrera 68 desde la calle 1 hasta la CL 32 Sur
- Calle 68 desde la Av. Caracas hasta la Av. Boyacá
Estos corredores se encuentran bajo la administración y acompañamiento de la SDM.
Igualmente el corredor de la Av. Carrera 68 desde la calle 42 sur hasta la calle 53 hace parte de la obra de la Troncal Carrera 68, donde se han acogido 6 km de CVT</t>
  </si>
  <si>
    <t>Esta meta no presenta retrasos en su ejecución</t>
  </si>
  <si>
    <t xml:space="preserve">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
</t>
  </si>
  <si>
    <t>Si bien es cierto la meta no presenta avance , a la fecha se reportan los siguientes avances, así:
En cuanto al número de puentes vehiculares reforzados
 a la fecha se encuentran contratados 15 de los 23 programados,  una vez se culminen dichos contratos se reporta su ejecución,  en puntos como :
PTE. VEH. AV C CALI POR AV FERROCARRIL ( 2) IDU-1550-2018
MANTENIMIENTO PUENTES VEHICULARES (8) IDU-1711-2020
INTERSECCION AV.RINCON X AV.BOYACA (3) IDU-1550-2018
INTERSECCION AV  ALSACIA POR AV BOYACA (2) IDU-1539-2018
No obstante lo anterior en cuanto al mantenimiento de puentes vehiculares se han ejecutado 13 a través de los siguientes contratos :
Mantenimiento
IDU-1710-2020
Puentes conservados
1. TV 60 (Av. Suba) por CL 117 (Humedal Córdoba)
2. Av. Iberia (Cl 134) por Av. Paseo de Los Libertadores (norte)
3. Av. Chile (AC 72) por Av. Boyacá
4. Av. Pepe Sierra por Av. Paseo de los Libertadores
5. Av. Medellín por Av. del Congreso Eucarístico (costado norte)
6. Av. Pepe Sierra por Av. Boyacá
7. Av. Medellín por Avenida Boyacá (norte)
8. Av. Medellín por Avenida Boyacá (central)
9. Av. Ciudad de Cali por Calle 80
IDU-1711-2020
Puentes conservados
1. Av. Ciudad de Quito por DG 61C (Canal Salitre)
2. Av. José Celestino Mutis por Av. del Congreso Eucarístico (norte)
3. Av. José Celestino Mutis por Av. del Congreso Eucarístico (sur)
4. Av. de las Américas por Av. Ciudad de Quito
En cuanto al porcentaje de avance físico del proyecto financiado con regalías denominado "Construcción del Intercambiador NQS-BOSA": El proyecto tiene un avance de cero, debido a que no se ha iniciado trabajos de obra directa, los cuales se tienen previstos para el primer trimestre del año 2023. Sin embargo, el IDU ha avanzado con la gestión predial, de tal manera que cuenta con 126 predios ofertados de 132, de los cuales ya se han suscrito promesa de compraventa con 75 propietarios.</t>
  </si>
  <si>
    <t>La meta no presenta retrasos</t>
  </si>
  <si>
    <t>Con la construccion , reforzamiento o mantenimiento de los puentes vehiculares se pretende dar conectividad a las vias con lo cual se disminuye los tiempos de  de recorrido vial</t>
  </si>
  <si>
    <t>En lo que va corrido del Plan de Desarrollo, el Sector Movilidad ha logrado un avance en la definición e implementación del 0,59. En lo que respecta al 2022, se logró un avance del 0,09. A continuación las principales acciones:
UMV:Se realizaron acciones asociadas al Objetivo 1, en la actividad: campaña ahora somos más ciudadanos, con el diseño de las vallas publicitarias y plegables. Con respecto al Objetivo 2, se avanzó en la actividad de charlas para el respeto, la prudencia y la paciencia en los frentes de obra, donde se elaboraron los contenidos de la presentación, estás charlas serán socializadas durante el segundo trimestre con los directivos, personal administrativo y colaboradores de la UAERMV. Otra de las acciones de esta actividad se basó en la prevención de la violencia hacia las mujeres en el espacio público donde se realizaron acciones de intercambio interinstitucional con el equipo de la SDMujer asociado a la prevención de violencias.
De igual manera, con el Objetivo 3 y la actividad: -cuidando ando-, se diseñó la encuesta de percepción del cuidado de la malla vial y el espacio público; se elaboraron las infografías -sembrando el cuidado-, -manitas para el cuidado-. Finalmente, para el objetivo 4, y la actividad:-la trece se crece-, se diseñaron y aplicaron las encuestas de percepción de la implementación de la cicloruta de la calle 13 a los diferentes actores viales.
SDM -En lo corrido del Plan de Desarrollo la estrategia de cultura ciudadana  estuvo enfocada en campañas, pedagogía y comunicación externa. De esta manera se promocionaron el uso de los modos alternativos, en especial la bicicleta, allí se manejaron mensajes donde se priorizó una comunicación directa, inclusiva, cordial y de corresponsabilidad en el sentido de que todos los ciudadanos aporten a la protección de la vida en el sistema de movilidad.
Así mismo, en lo relacionado a campañas de cultura ciudadana, se implementaron las campañas _Un Pedido por la Vid_ y _Tú Eres el Corazón de la Nueva Movilidad_, las cuales constaron de acciones lúdico-pedagógica en espacio público, con lo cual se logró alcanzar a domiciliarios y transeúntes de las zonas de intervención, generando conocimientos sobre el cuidado de la vida propia y la de los demás actores viales, haciendo énfasis tanto en no exceder los límites máximos de velocidad en las vías, como en el respeto al peatón, como el actor vial más vulnerable y el más importante en la movilidad sostenible. Y, por último, se puso a disposición de la ciudadanía los portafolios de actividades en seguridad vial y cultura para la movilidad, como el portafolio de acciones pedagógicas para empresas y entidades que consta de 14 módulos de capacitación 
TMSA:   Las principales acciones adelantadas fueron:
Ejecución de 11 acciones en el marco de las siguientes estrategias:
Fortalecimiento de los canales de gestión social.
Apropiación de manual del usuario, Buen trato y humanización.
Divulgación de contenidos en redes
Conocimiento de proyectos estratégicos
Cocreando el cambio cultural en el Sistema.
Políticas Públicas.
EMB:  Durante el trimestre enero, febrero y  marzo se avanzó en las siguientes actividades:
1. Ejecución de acciones precontractuales que permitieron la publicación del proceso GCCC-LP-001-2022, cuyo objeto es: prestar los servicios de operador logístico para las actividades de comunicación, participación ciudadana, gestión social y cultura ciudadana de la Empresa Metro de Bogotá, en ejecución del proyecto Primera Línea del Metro de Bogotá.
2. Se inició la fase preparatoria para la conceptualización de los documentos que harán parte del proceso de contratación para un instrumento de medición de percepción de opinión pública; específicamente con las mesas de trabajo con la Sugerencia de Asesoría Jurídica de Gestión Contractual de la EMB.
3. Cronograma para la etapa precontractual del proceso que permitirá realizar la aplicación de instrumentos de medición de opinión publica en desarrollo del plan de acción de cultura ciudadana de la Primera Línea del Metro de Bogotá.
4. Se formalizó el plan de acción de cultura ciudadana alrededor del metro de Bogotá, con código CM-DR-001.
5. Mesa de trabajo con la Secretaría de Educación del Distrito para definir la participación de la EMB con la actividad “Recorriendo nuestro metro” en los colegios de Bogotá para el primer semestre de 2022.
IDU - Esta meta no presenta recursos  disponibles para la vigencia 2022</t>
  </si>
  <si>
    <t>Las campañas de cultura ciudadana para el sistema de movilidad, con enfoque diferencial, de género y territorial, benefician a la ciudad en los siguientes aspectos:
1. Fortalecen los conocimientos e interiorización de las normas y el uso adecuado del espacio público
2. Generan el aprendizaje y la recordación entre los motociclistas domiciliarios del límite de velocidad máxima, así como las transformaciones en la percepción del costo familiar que implican los siniestros viales.
3. Generan conciencia para el cuidado del patrimonio a través de la exposición de relatos de vida y de los beneficios que presta el transporte público  en  la ciudad, en medio de las acciones violentas y de bloqueo del sistema Sitp-TransMilenio
4. Disminuyen  los incidentes viales  con la recordación sobre velocidad máxima en corredores principales (50 km/h) y formentar el cuidado de los actores viales más vulnerables (peatón, ciclistas y motociclistas).
5. Generan cultura ciudadana y transformaciones en diferentes zonas de intervención por la Entidad, para la concientización y el cuidado del actor vial más vulnerable, el peatón.</t>
  </si>
  <si>
    <t>Periodicidad quinquenal</t>
  </si>
  <si>
    <t>PLAN DE DESARROLLO:    UN NUEVO CONTRATO SOCIAL Y AMBIENTAL PARA LA BOGOTÁ DEL SIGLO XXI</t>
  </si>
  <si>
    <t>PLAN MAESTRO DE MOVILIDAD</t>
  </si>
  <si>
    <t>AVANCE CUALITATIVO</t>
  </si>
  <si>
    <t xml:space="preserve">
PRESUPUESTO (Millones de pesos)</t>
  </si>
  <si>
    <t xml:space="preserve">
Programado 2020
</t>
  </si>
  <si>
    <t>AVANCE TRIMESTRAL (Magnitud)</t>
  </si>
  <si>
    <t xml:space="preserve">Meta de tipo creciente cuyo resultado es de 88,83 con respecto al 79,50 esperado para la vigencia 2022.
Entre los principales avances por parte de TMSA están:
Para el tema zonal se logró una mejora en el Índice de Regularidad del intervalo del componente Zonal, pasando de cifra de mes a 68,1% en marzo de 2020, a un valor promedio acumulado a Marzo de 2022 del 77,93 %. Si bien parte de esta mejora se debe a las acciones adelantadas para garantizar una mejor prestación del servicio, dicho valor se ve afectado de manera favorable por las restricciones de movilidad con ocasión de la declaración de pandemia por Covid 19, sin embargo, eventos como manifestaciones o congestión vehicular, tienen un impacto ligeramente desfavorable, por lo que se espera
una pequeña reducción del indicador con el regreso a la normalidad.
Frente a las acciones de la Secretaría Distrital de Movilidad para el seguimiento a los proyectos de infraestructura vial y equipamientos de transporte del sistema de movilidad alcanzado, se encuentran como avance estratégico durante el período de julio de 2020 a marzo de 2022, la emisión oportuna del concepto sobre los documentos de metodología para estudios de tránsito revisados y aprobados para equipamientos de transporte del sistema de movilidad entre los cuales se encuentran: Estudio,diseño y construcción de mejoras geométricas y nueva salida del Portal Troncal 80, Acción Popular 2013-0399 Malla vial y andenes en la Carrera 4Este entre Calles 46D Sur y 45 Sur La Victoria, Estudios, diseños y construcción del Canal Córdoba entre Calles 129 y 170, Estudios y diseños conexión regional Canal Salitre y Río Negro NQS- AK7; Estudios, diseño y construcción Paseos Comerciales Fase II Puente Aranda, Factibilidad, estudios y diseños para la construcción del puente San Agustín y el puente Los Andes, Interventoría estudios, diseños y construcción aceras y ciclorutas costado oriental Autonorte entre AC 80 y CL 128B, Interventoría estudios y diseños proyecto Zona F, Acción Popular 367 de 2013 Calle 54 Sur de CR 88C a CR 89B Bosa, Metodología Estudio de Tránsito Ciclo Alameda Medio Milenio, Ampliación puentes peatonales estaciones Calle 142, Calle 146, Toberín y Mazurén, Control de Cambios Av. Guayacanes Grupo 1, Metodología Estudio de Tránsito Factibilidad para el desarrollo de la infraestructura vial circuito Bosa y Metodología Estudio de Tránsito Diseño e implementación de ciclo-infraestructura en programa para la conservación de espacio público y la red de ciclorrutas Red Minuto. También se aprobaron estudios de tránsito de Patios zonales SITP: Aeropuerto, Usme Centro, Alameda El Jardín, María Juana, Perdomo, El Gaco, El Uval, La Conejera, Suba Gaitana,La Turquesa, Alimentadores Bosa, Corpas, Usme Centro II y Escritorio Fontibón.
</t>
  </si>
  <si>
    <t>Los datos obtenidos reflejan la confiabilidad del Sistema en términos de ejecución de la oferta programada, es decir, indican la calidad en la prestación de los servicios troncales para los usuarios, en términos de cumplimiento de despachos, cumplimiento de kilómetros programados y la distancia promedio entre varados. 
Se logró una mejora en el Índice de Regularidad del intervalo del componente Zonal, pasando de cifra de mes a 68,1% en marzo de 2020, a un valor promedio acumulado a Marzo de 2022 del  77,93 %. esto implica que 9,8% adicional de viajes salen de cabecera mejor espaciados entre ellos lo que reduce el número de convoys o grandes esperan para los usuarios; en otras palabras, antes los usuarios esperaban en promedio entre 7 y 29 minutos por un servicio y hoy esperan entre 6 y 23 minutos. Adicionalmente, las PQRs por intervalos pasó de ser la principal queja a ocupar el 2do lugar</t>
  </si>
  <si>
    <t>A continuación, se describen las actividades realizadas en el primer trimestre de la vigencia en lo que respecta al avance de la Meta PDD 400 _Alcanzar el 100% del proceso de contratación para la expansión de la PLMB-Fase2. Estos, son: 1. Se realizaron comentarios al Entregable 2 "Debida Diligencia Técnica, legal y financiera" en su versión E. 2. Se realizaron comentarios al Entregable 3 "Debida Diligencia de Riesgos" en su versión B. 3. Se recibió el Entregable 4 " Resumen ejecutivo, valoración y certificación CAPEX y OPEX y el Informe técnico Aval técnico" que sirvieron como insumo para la radicación ante la SDM de la certificación de que trata la Ley 1955 de 2019 y la Resolución No. 20203040013685 del Ministerio de Transporte y los Estudios de Factibilidad del Proyecto Línea 2 del Metro de Bogotá para aval técnico. A su vez, la Alcaldía Mayor de Bogotá procedió a radicar esta misma documentación ante el Ministerio de Transporte. 4. El Entregable 5 "Topografía y Demanda" en su versión D, se encuentra en revisión de la EMB. 5. Se continúa revisando las metodologías de diseño para las especificaciones de: diseño geométrico vial, interferencia con redes y servicios, geotecnia y pavimentos, túnel, ambiental, social, predial, movilidad, diseños eléctricos y electrónicos del CCO. Sigue la revisión de otros componentes tales como: diseño geométrico férreo, material rodante, plan de gestión de interfaces, otros.</t>
  </si>
  <si>
    <t>A continuación, se describen las actividades realizadas en el primer trimestre de la vigencia en lo que respecta al avance de la Meta PDD 401 _ Alcanzar el 60% del ciclo de vida del proyecto PLMB-T1. Estos, son: 1. El % de obra presentado corresponde al avance total de la etapa preoperativa del contrato de concesión con corte al 15 de marzo. 2. Se presentaron informes del PMO correspondientes a los meses de diciembre 2021, enero y febrero de 2022, aprobando los informes de noviembre y diciembre 2021, los restantes están en proceso de ajuste por parte de la PMO para su posterior aprobación y pago. 3. Se recibieron los informes de interventoría de diciembre 2021, enero y febrero 2022, aprobando los informes mensuales N° 14 correspondiente a octubre de 2021, N° 15 correspondiente a noviembre 2021 y el N° 16 correspondiente a diciembre 2021, los restantes están en proceso de ajuste por parte de la Interventoría para su posterior aprobación y pago. 4. Se colocaron a disposición del concesionario 369 predios. Entregas surtidas de la siguiente forma: 3 predios pertenecientes a la Estación 10, 366 predios los cuales fueron notificados a través de comunicación externo y los cuales se está a la espera del recibo a satisfacción por parte del concesionario. 5. Finalmente, se ejecutaron 8 interferencias discriminadas de la siguiente manera: Enero=EAB-01 Y COD-00, Febrero=EAB-03 Y COD-02 Y Marzo= ETB-38, ETB-39, ETB-42 Y ETB 43.</t>
  </si>
  <si>
    <t>Se propende satisfacer las necesidades de movilidad en la ciudad de Bogotá-Región, de una manera eficiente, segura y sostenible que conlleven a que la proporción del gasto en transporte público de los hogares de mayor vulnerabilidad sea menor, garantizando sostenibilidad del sistema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</si>
</sst>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0.0%"/>
    <numFmt numFmtId="181" formatCode="_-* #,##0.00_-;\-* #,##0.00_-;_-* &quot;-&quot;_-;_-@_-"/>
    <numFmt numFmtId="182" formatCode="_-* #,##0.0_-;\-* #,##0.0_-;_-* &quot;-&quot;_-;_-@_-"/>
    <numFmt numFmtId="183" formatCode="#,##0.0"/>
    <numFmt numFmtId="184" formatCode="0.000"/>
    <numFmt numFmtId="185" formatCode="#,##0,,"/>
    <numFmt numFmtId="186" formatCode="&quot;$&quot;\ #,##0"/>
    <numFmt numFmtId="187" formatCode="_-* #,##0.000_-;\-* #,##0.000_-;_-* &quot;-&quot;_-;_-@_-"/>
    <numFmt numFmtId="188" formatCode="_-* #,##0.0000_-;\-* #,##0.0000_-;_-* &quot;-&quot;_-;_-@_-"/>
  </numFmts>
  <fonts count="26"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sz val="10"/>
      <name val="Arial Narrow"/>
      <family val="2"/>
    </font>
    <font>
      <b/>
      <sz val="10"/>
      <name val="Arial Narrow"/>
      <family val="2"/>
    </font>
    <font>
      <sz val="10"/>
      <color theme="0"/>
      <name val="Arial Narrow"/>
      <family val="2"/>
    </font>
    <font>
      <sz val="10"/>
      <color theme="1"/>
      <name val="Arial Narrow"/>
      <family val="2"/>
    </font>
    <font>
      <sz val="10"/>
      <color rgb="FF000000"/>
      <name val="Arial Narrow"/>
      <family val="2"/>
    </font>
    <font>
      <sz val="11"/>
      <name val="Arial Narrow"/>
      <family val="2"/>
    </font>
  </fonts>
  <fills count="7">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34998626667073579"/>
        <bgColor indexed="64"/>
      </patternFill>
    </fill>
    <fill>
      <patternFill patternType="solid">
        <fgColor theme="0"/>
        <bgColor indexed="64"/>
      </patternFill>
    </fill>
  </fills>
  <borders count="2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rgb="FF000000"/>
      </left>
      <right style="hair">
        <color rgb="FF000000"/>
      </right>
      <top/>
      <bottom/>
      <diagonal/>
    </border>
    <border>
      <left style="hair">
        <color indexed="64"/>
      </left>
      <right style="hair">
        <color rgb="FF000000"/>
      </right>
      <top style="hair">
        <color indexed="64"/>
      </top>
      <bottom/>
      <diagonal/>
    </border>
    <border>
      <left style="hair">
        <color indexed="64"/>
      </left>
      <right style="hair">
        <color rgb="FF000000"/>
      </right>
      <top/>
      <bottom/>
      <diagonal/>
    </border>
    <border>
      <left style="hair">
        <color indexed="64"/>
      </left>
      <right style="hair">
        <color rgb="FF000000"/>
      </right>
      <top/>
      <bottom style="hair">
        <color indexed="64"/>
      </bottom>
      <diagonal/>
    </border>
    <border>
      <left style="hair">
        <color rgb="FF000000"/>
      </left>
      <right style="hair">
        <color rgb="FF000000"/>
      </right>
      <top style="hair">
        <color indexed="64"/>
      </top>
      <bottom/>
      <diagonal/>
    </border>
    <border>
      <left style="hair">
        <color rgb="FF000000"/>
      </left>
      <right style="hair">
        <color indexed="64"/>
      </right>
      <top style="hair">
        <color indexed="64"/>
      </top>
      <bottom/>
      <diagonal/>
    </border>
    <border>
      <left style="hair">
        <color rgb="FF000000"/>
      </left>
      <right style="hair">
        <color indexed="64"/>
      </right>
      <top/>
      <bottom/>
      <diagonal/>
    </border>
    <border>
      <left style="hair">
        <color rgb="FF000000"/>
      </left>
      <right style="hair">
        <color indexed="64"/>
      </right>
      <top/>
      <bottom style="hair">
        <color indexed="64"/>
      </bottom>
      <diagonal/>
    </border>
    <border>
      <left style="hair">
        <color indexed="64"/>
      </left>
      <right/>
      <top style="hair">
        <color rgb="FF000000"/>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s>
  <cellStyleXfs count="144">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96">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20" fillId="0" borderId="0" xfId="0" applyFont="1" applyBorder="1" applyAlignment="1">
      <alignment horizontal="justify" vertical="center" wrapText="1"/>
    </xf>
    <xf numFmtId="0" fontId="21" fillId="0" borderId="0" xfId="0" applyFont="1" applyBorder="1" applyAlignment="1">
      <alignment horizontal="justify" vertical="center" wrapText="1"/>
    </xf>
    <xf numFmtId="0" fontId="20" fillId="0" borderId="0" xfId="0" applyFont="1" applyBorder="1" applyAlignment="1">
      <alignment horizontal="right" vertical="center" wrapText="1"/>
    </xf>
    <xf numFmtId="9" fontId="20" fillId="0" borderId="0" xfId="99" applyFont="1" applyBorder="1" applyAlignment="1">
      <alignment horizontal="justify" vertical="center" wrapText="1"/>
    </xf>
    <xf numFmtId="0" fontId="20" fillId="6" borderId="0" xfId="0" applyFont="1" applyFill="1" applyBorder="1" applyAlignment="1">
      <alignment horizontal="right" vertical="center" wrapText="1"/>
    </xf>
    <xf numFmtId="41" fontId="20" fillId="0" borderId="0" xfId="112" applyFont="1" applyBorder="1" applyAlignment="1">
      <alignment horizontal="right" vertical="center" wrapText="1"/>
    </xf>
    <xf numFmtId="185" fontId="20" fillId="0" borderId="0" xfId="0" applyNumberFormat="1" applyFont="1" applyBorder="1" applyAlignment="1">
      <alignment horizontal="right" vertical="center" wrapText="1"/>
    </xf>
    <xf numFmtId="0" fontId="20" fillId="0" borderId="0" xfId="0" applyFont="1" applyAlignment="1">
      <alignment horizontal="justify" vertical="center" wrapText="1"/>
    </xf>
    <xf numFmtId="0" fontId="20" fillId="0" borderId="3" xfId="0" applyFont="1" applyFill="1" applyBorder="1" applyAlignment="1" applyProtection="1">
      <alignment horizontal="justify" vertical="center"/>
    </xf>
    <xf numFmtId="0" fontId="21" fillId="0" borderId="3" xfId="0" applyFont="1" applyFill="1" applyBorder="1" applyAlignment="1" applyProtection="1">
      <alignment horizontal="justify" vertical="center" wrapText="1"/>
    </xf>
    <xf numFmtId="0" fontId="22" fillId="0" borderId="0" xfId="0" applyFont="1" applyBorder="1" applyAlignment="1">
      <alignment horizontal="justify" vertical="center" wrapText="1"/>
    </xf>
    <xf numFmtId="0" fontId="21" fillId="6" borderId="3" xfId="0" applyFont="1" applyFill="1" applyBorder="1" applyAlignment="1">
      <alignment horizontal="justify" vertical="center"/>
    </xf>
    <xf numFmtId="0" fontId="20" fillId="0" borderId="7" xfId="0" applyFont="1" applyFill="1" applyBorder="1" applyAlignment="1" applyProtection="1">
      <alignment horizontal="justify" vertical="center" wrapText="1"/>
    </xf>
    <xf numFmtId="0" fontId="20" fillId="0" borderId="8" xfId="0" applyFont="1" applyFill="1" applyBorder="1" applyAlignment="1" applyProtection="1">
      <alignment horizontal="justify" vertical="center" wrapText="1"/>
    </xf>
    <xf numFmtId="0" fontId="20" fillId="0" borderId="9" xfId="0" applyFont="1" applyFill="1" applyBorder="1" applyAlignment="1" applyProtection="1">
      <alignment horizontal="justify" vertical="center" wrapText="1"/>
    </xf>
    <xf numFmtId="15" fontId="20" fillId="0" borderId="3" xfId="0" applyNumberFormat="1" applyFont="1" applyFill="1" applyBorder="1" applyAlignment="1">
      <alignment horizontal="justify" vertical="center" wrapText="1"/>
    </xf>
    <xf numFmtId="0" fontId="21" fillId="5" borderId="3" xfId="0" applyFont="1" applyFill="1" applyBorder="1" applyAlignment="1">
      <alignment horizontal="justify" vertical="center" wrapText="1"/>
    </xf>
    <xf numFmtId="186" fontId="21" fillId="5" borderId="10" xfId="113" applyNumberFormat="1" applyFont="1" applyFill="1" applyBorder="1" applyAlignment="1" applyProtection="1">
      <alignment horizontal="center" vertical="center" wrapText="1"/>
      <protection locked="0"/>
    </xf>
    <xf numFmtId="186" fontId="21" fillId="5" borderId="0" xfId="113" applyNumberFormat="1" applyFont="1" applyFill="1" applyBorder="1" applyAlignment="1" applyProtection="1">
      <alignment horizontal="center" vertical="center" wrapText="1"/>
      <protection locked="0"/>
    </xf>
    <xf numFmtId="186" fontId="21" fillId="5" borderId="11" xfId="113" applyNumberFormat="1" applyFont="1" applyFill="1" applyBorder="1" applyAlignment="1" applyProtection="1">
      <alignment horizontal="center" vertical="center" wrapText="1"/>
      <protection locked="0"/>
    </xf>
    <xf numFmtId="186" fontId="21" fillId="5" borderId="12" xfId="113" applyNumberFormat="1" applyFont="1" applyFill="1" applyBorder="1" applyAlignment="1" applyProtection="1">
      <alignment horizontal="center" vertical="center" wrapText="1"/>
      <protection locked="0"/>
    </xf>
    <xf numFmtId="0" fontId="21" fillId="0" borderId="0" xfId="0" applyFont="1" applyAlignment="1">
      <alignment horizontal="justify" vertical="center" wrapText="1"/>
    </xf>
    <xf numFmtId="0" fontId="21" fillId="5" borderId="4" xfId="0" applyFont="1" applyFill="1" applyBorder="1" applyAlignment="1">
      <alignment horizontal="justify" vertical="center" textRotation="255" wrapText="1"/>
    </xf>
    <xf numFmtId="0" fontId="20" fillId="6" borderId="0" xfId="0" applyFont="1" applyFill="1" applyAlignment="1">
      <alignment horizontal="justify" vertical="center" wrapText="1"/>
    </xf>
    <xf numFmtId="0" fontId="21" fillId="5" borderId="5" xfId="0" applyFont="1" applyFill="1" applyBorder="1" applyAlignment="1">
      <alignment horizontal="justify" vertical="center" textRotation="255" wrapText="1"/>
    </xf>
    <xf numFmtId="0" fontId="20" fillId="6" borderId="3" xfId="0" applyFont="1" applyFill="1" applyBorder="1" applyAlignment="1" applyProtection="1">
      <alignment horizontal="justify" vertical="center" wrapText="1"/>
    </xf>
    <xf numFmtId="0" fontId="20" fillId="6" borderId="3" xfId="0" applyFont="1" applyFill="1" applyBorder="1" applyAlignment="1" applyProtection="1">
      <alignment horizontal="justify" vertical="center" wrapText="1"/>
      <protection locked="0"/>
    </xf>
    <xf numFmtId="2" fontId="20" fillId="6" borderId="3" xfId="0" applyNumberFormat="1" applyFont="1" applyFill="1" applyBorder="1" applyAlignment="1" applyProtection="1">
      <alignment horizontal="right" vertical="center" wrapText="1"/>
      <protection locked="0"/>
    </xf>
    <xf numFmtId="0" fontId="20" fillId="6" borderId="3" xfId="0" applyFont="1" applyFill="1" applyBorder="1" applyAlignment="1" applyProtection="1">
      <alignment horizontal="right" vertical="center" wrapText="1"/>
      <protection locked="0"/>
    </xf>
    <xf numFmtId="4" fontId="20" fillId="6" borderId="3" xfId="142" applyNumberFormat="1" applyFont="1" applyFill="1" applyBorder="1" applyAlignment="1" applyProtection="1">
      <alignment horizontal="right" vertical="center" wrapText="1"/>
      <protection locked="0"/>
    </xf>
    <xf numFmtId="2" fontId="20" fillId="6" borderId="3" xfId="0" applyNumberFormat="1" applyFont="1" applyFill="1" applyBorder="1" applyAlignment="1" applyProtection="1">
      <alignment vertical="center" wrapText="1"/>
      <protection locked="0"/>
    </xf>
    <xf numFmtId="10" fontId="20" fillId="6" borderId="3" xfId="99" applyNumberFormat="1" applyFont="1" applyFill="1" applyBorder="1" applyAlignment="1" applyProtection="1">
      <alignment vertical="center" wrapText="1"/>
      <protection locked="0"/>
    </xf>
    <xf numFmtId="0" fontId="20" fillId="6" borderId="3" xfId="0" applyFont="1" applyFill="1" applyBorder="1" applyAlignment="1" applyProtection="1">
      <alignment horizontal="right" vertical="center"/>
      <protection locked="0"/>
    </xf>
    <xf numFmtId="182" fontId="20" fillId="6" borderId="3" xfId="112" applyNumberFormat="1" applyFont="1" applyFill="1" applyBorder="1" applyAlignment="1" applyProtection="1">
      <alignment horizontal="right" vertical="center"/>
      <protection locked="0"/>
    </xf>
    <xf numFmtId="181" fontId="20" fillId="6" borderId="3" xfId="112" applyNumberFormat="1" applyFont="1" applyFill="1" applyBorder="1" applyAlignment="1" applyProtection="1">
      <alignment horizontal="right" vertical="center"/>
      <protection locked="0"/>
    </xf>
    <xf numFmtId="181" fontId="20" fillId="6" borderId="3" xfId="0" applyNumberFormat="1" applyFont="1" applyFill="1" applyBorder="1" applyAlignment="1" applyProtection="1">
      <alignment horizontal="right" vertical="center" wrapText="1"/>
      <protection locked="0"/>
    </xf>
    <xf numFmtId="10" fontId="20" fillId="6" borderId="3" xfId="99" applyNumberFormat="1" applyFont="1" applyFill="1" applyBorder="1" applyAlignment="1" applyProtection="1">
      <alignment horizontal="right" vertical="center" wrapText="1"/>
      <protection locked="0"/>
    </xf>
    <xf numFmtId="0" fontId="20" fillId="6" borderId="13" xfId="0" applyFont="1" applyFill="1" applyBorder="1" applyAlignment="1" applyProtection="1">
      <alignment horizontal="justify" vertical="center" wrapText="1"/>
      <protection locked="0"/>
    </xf>
    <xf numFmtId="0" fontId="20" fillId="6" borderId="3" xfId="0" applyFont="1" applyFill="1" applyBorder="1" applyAlignment="1" applyProtection="1">
      <alignment horizontal="justify" vertical="center" wrapText="1"/>
      <protection locked="0"/>
    </xf>
    <xf numFmtId="41" fontId="20" fillId="6" borderId="3" xfId="112" applyFont="1" applyFill="1" applyBorder="1" applyAlignment="1" applyProtection="1">
      <alignment horizontal="right" vertical="center" wrapText="1"/>
      <protection locked="0"/>
    </xf>
    <xf numFmtId="185" fontId="20" fillId="6" borderId="3" xfId="143" applyNumberFormat="1" applyFont="1" applyFill="1" applyBorder="1" applyAlignment="1">
      <alignment horizontal="right" vertical="center" wrapText="1"/>
    </xf>
    <xf numFmtId="41" fontId="20" fillId="6" borderId="3" xfId="112" applyFont="1" applyFill="1" applyBorder="1" applyAlignment="1">
      <alignment horizontal="right" vertical="center" wrapText="1"/>
    </xf>
    <xf numFmtId="0" fontId="20" fillId="6" borderId="0" xfId="0" applyFont="1" applyFill="1" applyBorder="1" applyAlignment="1">
      <alignment horizontal="justify" vertical="center" wrapText="1"/>
    </xf>
    <xf numFmtId="41" fontId="20" fillId="6" borderId="3" xfId="112" applyFont="1" applyFill="1" applyBorder="1" applyAlignment="1" applyProtection="1">
      <alignment horizontal="right" vertical="center"/>
      <protection locked="0"/>
    </xf>
    <xf numFmtId="41" fontId="20" fillId="6" borderId="3" xfId="112" applyFont="1" applyFill="1" applyBorder="1" applyAlignment="1" applyProtection="1">
      <alignment vertical="center"/>
      <protection locked="0"/>
    </xf>
    <xf numFmtId="0" fontId="20" fillId="6" borderId="6" xfId="0" applyFont="1" applyFill="1" applyBorder="1" applyAlignment="1" applyProtection="1">
      <alignment horizontal="justify" vertical="center" wrapText="1"/>
      <protection locked="0"/>
    </xf>
    <xf numFmtId="0" fontId="20" fillId="6" borderId="3" xfId="0" applyFont="1" applyFill="1" applyBorder="1" applyAlignment="1" applyProtection="1">
      <alignment horizontal="justify" vertical="center" wrapText="1"/>
    </xf>
    <xf numFmtId="4" fontId="20" fillId="6" borderId="3" xfId="112" applyNumberFormat="1" applyFont="1" applyFill="1" applyBorder="1" applyAlignment="1" applyProtection="1">
      <alignment horizontal="right" vertical="center" wrapText="1"/>
      <protection locked="0"/>
    </xf>
    <xf numFmtId="0" fontId="20" fillId="6" borderId="13" xfId="0" applyFont="1" applyFill="1" applyBorder="1" applyAlignment="1">
      <alignment horizontal="justify" vertical="center" wrapText="1"/>
    </xf>
    <xf numFmtId="41" fontId="20" fillId="6" borderId="3" xfId="112" applyFont="1" applyFill="1" applyBorder="1" applyAlignment="1">
      <alignment horizontal="right" vertical="center"/>
    </xf>
    <xf numFmtId="185" fontId="20" fillId="6" borderId="3" xfId="143" applyNumberFormat="1" applyFont="1" applyFill="1" applyBorder="1" applyAlignment="1">
      <alignment horizontal="right" vertical="center"/>
    </xf>
    <xf numFmtId="0" fontId="20" fillId="6" borderId="6" xfId="0" applyFont="1" applyFill="1" applyBorder="1" applyAlignment="1">
      <alignment horizontal="justify" vertical="center" wrapText="1"/>
    </xf>
    <xf numFmtId="185" fontId="20" fillId="6" borderId="3" xfId="143" applyNumberFormat="1" applyFont="1" applyFill="1" applyBorder="1" applyAlignment="1">
      <alignment horizontal="right" vertical="center" wrapText="1"/>
    </xf>
    <xf numFmtId="41" fontId="20" fillId="6" borderId="3" xfId="112" applyFont="1" applyFill="1" applyBorder="1" applyAlignment="1">
      <alignment horizontal="right" vertical="center" wrapText="1"/>
    </xf>
    <xf numFmtId="0" fontId="20" fillId="6" borderId="3" xfId="0" applyFont="1" applyFill="1" applyBorder="1" applyAlignment="1" applyProtection="1">
      <alignment vertical="center" wrapText="1"/>
      <protection locked="0"/>
    </xf>
    <xf numFmtId="41" fontId="20" fillId="6" borderId="3" xfId="0" applyNumberFormat="1" applyFont="1" applyFill="1" applyBorder="1" applyAlignment="1" applyProtection="1">
      <alignment horizontal="right" vertical="center" wrapText="1"/>
      <protection locked="0"/>
    </xf>
    <xf numFmtId="9" fontId="20" fillId="6" borderId="3" xfId="99" applyFont="1" applyFill="1" applyBorder="1" applyAlignment="1" applyProtection="1">
      <alignment horizontal="right" vertical="center" wrapText="1"/>
      <protection locked="0"/>
    </xf>
    <xf numFmtId="0" fontId="20" fillId="6" borderId="3" xfId="0" applyFont="1" applyFill="1" applyBorder="1" applyAlignment="1">
      <alignment horizontal="justify" vertical="center" wrapText="1"/>
    </xf>
    <xf numFmtId="41" fontId="20" fillId="6" borderId="3" xfId="112" applyFont="1" applyFill="1" applyBorder="1" applyAlignment="1">
      <alignment horizontal="right" vertical="center"/>
    </xf>
    <xf numFmtId="185" fontId="20" fillId="6" borderId="3" xfId="143" applyNumberFormat="1" applyFont="1" applyFill="1" applyBorder="1" applyAlignment="1">
      <alignment horizontal="right" vertical="center"/>
    </xf>
    <xf numFmtId="0" fontId="20" fillId="6" borderId="3" xfId="0" applyFont="1" applyFill="1" applyBorder="1" applyAlignment="1">
      <alignment horizontal="justify" vertical="center" wrapText="1"/>
    </xf>
    <xf numFmtId="4" fontId="20" fillId="6" borderId="3" xfId="0" applyNumberFormat="1" applyFont="1" applyFill="1" applyBorder="1" applyAlignment="1" applyProtection="1">
      <alignment vertical="center" wrapText="1"/>
      <protection locked="0"/>
    </xf>
    <xf numFmtId="187" fontId="20" fillId="6" borderId="3" xfId="0" applyNumberFormat="1" applyFont="1" applyFill="1" applyBorder="1" applyAlignment="1" applyProtection="1">
      <alignment horizontal="right" vertical="center" wrapText="1"/>
      <protection locked="0"/>
    </xf>
    <xf numFmtId="185" fontId="20" fillId="6" borderId="3" xfId="113" applyNumberFormat="1" applyFont="1" applyFill="1" applyBorder="1" applyAlignment="1">
      <alignment horizontal="right" vertical="center"/>
    </xf>
    <xf numFmtId="4" fontId="20" fillId="6" borderId="3" xfId="112" applyNumberFormat="1" applyFont="1" applyFill="1" applyBorder="1" applyAlignment="1">
      <alignment vertical="center" wrapText="1"/>
    </xf>
    <xf numFmtId="4" fontId="20" fillId="6" borderId="3" xfId="0" applyNumberFormat="1" applyFont="1" applyFill="1" applyBorder="1" applyAlignment="1" applyProtection="1">
      <alignment horizontal="right" vertical="center"/>
      <protection locked="0"/>
    </xf>
    <xf numFmtId="4" fontId="20" fillId="6" borderId="3" xfId="0" applyNumberFormat="1" applyFont="1" applyFill="1" applyBorder="1" applyAlignment="1" applyProtection="1">
      <alignment horizontal="right" vertical="center" wrapText="1"/>
      <protection locked="0"/>
    </xf>
    <xf numFmtId="41" fontId="20" fillId="6" borderId="3" xfId="112" applyFont="1" applyFill="1" applyBorder="1" applyAlignment="1" applyProtection="1">
      <alignment horizontal="right" vertical="center" wrapText="1"/>
      <protection locked="0"/>
    </xf>
    <xf numFmtId="185" fontId="20" fillId="6" borderId="3" xfId="143" applyNumberFormat="1" applyFont="1" applyFill="1" applyBorder="1" applyAlignment="1" applyProtection="1">
      <alignment horizontal="right" vertical="center" wrapText="1"/>
      <protection locked="0"/>
    </xf>
    <xf numFmtId="0" fontId="20" fillId="6" borderId="23" xfId="0" applyFont="1" applyFill="1" applyBorder="1" applyAlignment="1" applyProtection="1">
      <alignment horizontal="justify" vertical="center" wrapText="1"/>
      <protection locked="0"/>
    </xf>
    <xf numFmtId="0" fontId="20" fillId="6" borderId="13" xfId="0" applyFont="1" applyFill="1" applyBorder="1" applyAlignment="1" applyProtection="1">
      <alignment horizontal="center" vertical="center" wrapText="1"/>
    </xf>
    <xf numFmtId="0" fontId="20" fillId="6" borderId="13" xfId="0" applyFont="1" applyFill="1" applyBorder="1" applyAlignment="1" applyProtection="1">
      <alignment horizontal="center" vertical="center" wrapText="1"/>
      <protection locked="0"/>
    </xf>
    <xf numFmtId="0" fontId="20" fillId="6" borderId="6" xfId="0" applyFont="1" applyFill="1" applyBorder="1" applyAlignment="1" applyProtection="1">
      <alignment horizontal="center" vertical="center" wrapText="1"/>
    </xf>
    <xf numFmtId="0" fontId="20" fillId="6" borderId="6" xfId="0" applyFont="1" applyFill="1" applyBorder="1" applyAlignment="1" applyProtection="1">
      <alignment horizontal="center" vertical="center" wrapText="1"/>
      <protection locked="0"/>
    </xf>
    <xf numFmtId="4" fontId="20" fillId="6" borderId="3" xfId="112" applyNumberFormat="1" applyFont="1" applyFill="1" applyBorder="1" applyAlignment="1" applyProtection="1">
      <alignment vertical="center" wrapText="1"/>
      <protection locked="0"/>
    </xf>
    <xf numFmtId="4" fontId="20" fillId="6" borderId="3" xfId="0" applyNumberFormat="1" applyFont="1" applyFill="1" applyBorder="1" applyAlignment="1" applyProtection="1">
      <alignment horizontal="right" vertical="center" wrapText="1"/>
      <protection locked="0"/>
    </xf>
    <xf numFmtId="185" fontId="20" fillId="6" borderId="3" xfId="113" applyNumberFormat="1" applyFont="1" applyFill="1" applyBorder="1" applyAlignment="1" applyProtection="1">
      <alignment horizontal="right" vertical="center" wrapText="1"/>
      <protection locked="0"/>
    </xf>
    <xf numFmtId="3" fontId="20" fillId="6" borderId="3" xfId="0" applyNumberFormat="1" applyFont="1" applyFill="1" applyBorder="1" applyAlignment="1" applyProtection="1">
      <alignment horizontal="right" vertical="center" wrapText="1"/>
      <protection locked="0"/>
    </xf>
    <xf numFmtId="185" fontId="20" fillId="6" borderId="3" xfId="143" applyNumberFormat="1" applyFont="1" applyFill="1" applyBorder="1" applyAlignment="1" applyProtection="1">
      <alignment horizontal="right" vertical="center" wrapText="1"/>
      <protection locked="0"/>
    </xf>
    <xf numFmtId="0" fontId="20" fillId="6" borderId="3" xfId="0" applyFont="1" applyFill="1" applyBorder="1" applyAlignment="1" applyProtection="1">
      <alignment horizontal="right" vertical="center"/>
      <protection locked="0"/>
    </xf>
    <xf numFmtId="10" fontId="20" fillId="6" borderId="3" xfId="99" applyNumberFormat="1" applyFont="1" applyFill="1" applyBorder="1" applyAlignment="1" applyProtection="1">
      <alignment horizontal="right" vertical="center"/>
      <protection locked="0"/>
    </xf>
    <xf numFmtId="9" fontId="20" fillId="6" borderId="3" xfId="99" applyFont="1" applyFill="1" applyBorder="1" applyAlignment="1" applyProtection="1">
      <alignment vertical="center" wrapText="1"/>
      <protection locked="0"/>
    </xf>
    <xf numFmtId="180" fontId="20" fillId="6" borderId="3" xfId="99" applyNumberFormat="1" applyFont="1" applyFill="1" applyBorder="1" applyAlignment="1" applyProtection="1">
      <alignment horizontal="right" vertical="center" wrapText="1"/>
      <protection locked="0"/>
    </xf>
    <xf numFmtId="180" fontId="20" fillId="6" borderId="3" xfId="99" applyNumberFormat="1" applyFont="1" applyFill="1" applyBorder="1" applyAlignment="1" applyProtection="1">
      <alignment vertical="center" wrapText="1"/>
      <protection locked="0"/>
    </xf>
    <xf numFmtId="4" fontId="20" fillId="6" borderId="3" xfId="142" applyNumberFormat="1" applyFont="1" applyFill="1" applyBorder="1" applyAlignment="1" applyProtection="1">
      <alignment vertical="center" wrapText="1"/>
      <protection locked="0"/>
    </xf>
    <xf numFmtId="4" fontId="20" fillId="6" borderId="3" xfId="142" applyNumberFormat="1" applyFont="1" applyFill="1" applyBorder="1" applyAlignment="1" applyProtection="1">
      <alignment horizontal="right" vertical="center"/>
      <protection locked="0"/>
    </xf>
    <xf numFmtId="181" fontId="20" fillId="6" borderId="3" xfId="142" applyNumberFormat="1" applyFont="1" applyFill="1" applyBorder="1" applyAlignment="1" applyProtection="1">
      <alignment horizontal="right" vertical="center" wrapText="1"/>
      <protection locked="0"/>
    </xf>
    <xf numFmtId="41" fontId="20" fillId="6" borderId="3" xfId="142" applyNumberFormat="1" applyFont="1" applyFill="1" applyBorder="1" applyAlignment="1" applyProtection="1">
      <alignment horizontal="right" vertical="center" wrapText="1"/>
      <protection locked="0"/>
    </xf>
    <xf numFmtId="41" fontId="20" fillId="6" borderId="3" xfId="142" applyFont="1" applyFill="1" applyBorder="1" applyAlignment="1" applyProtection="1">
      <alignment horizontal="right" vertical="center" wrapText="1"/>
      <protection locked="0"/>
    </xf>
    <xf numFmtId="181" fontId="20" fillId="6" borderId="3" xfId="112" applyNumberFormat="1" applyFont="1" applyFill="1" applyBorder="1" applyAlignment="1" applyProtection="1">
      <alignment vertical="center"/>
      <protection locked="0"/>
    </xf>
    <xf numFmtId="10" fontId="20" fillId="6" borderId="3" xfId="99" applyNumberFormat="1" applyFont="1" applyFill="1" applyBorder="1" applyAlignment="1" applyProtection="1">
      <alignment vertical="center"/>
      <protection locked="0"/>
    </xf>
    <xf numFmtId="185" fontId="20" fillId="6" borderId="3" xfId="113" applyNumberFormat="1" applyFont="1" applyFill="1" applyBorder="1" applyAlignment="1" applyProtection="1">
      <alignment horizontal="right" vertical="center" wrapText="1"/>
      <protection locked="0"/>
    </xf>
    <xf numFmtId="0" fontId="20" fillId="6" borderId="3" xfId="0" applyFont="1" applyFill="1" applyBorder="1" applyAlignment="1">
      <alignment horizontal="right" vertical="center" wrapText="1"/>
    </xf>
    <xf numFmtId="4" fontId="20" fillId="6" borderId="3" xfId="0" applyNumberFormat="1" applyFont="1" applyFill="1" applyBorder="1" applyAlignment="1">
      <alignment horizontal="right" vertical="center" wrapText="1"/>
    </xf>
    <xf numFmtId="4" fontId="20" fillId="6" borderId="0" xfId="0" applyNumberFormat="1" applyFont="1" applyFill="1" applyBorder="1" applyAlignment="1" applyProtection="1">
      <alignment vertical="center" wrapText="1"/>
      <protection locked="0"/>
    </xf>
    <xf numFmtId="0" fontId="20" fillId="6" borderId="0" xfId="0" applyFont="1" applyFill="1" applyBorder="1" applyAlignment="1" applyProtection="1">
      <alignment horizontal="justify" vertical="center" wrapText="1"/>
      <protection locked="0"/>
    </xf>
    <xf numFmtId="9" fontId="20" fillId="6" borderId="0" xfId="99" applyFont="1" applyFill="1" applyBorder="1" applyAlignment="1" applyProtection="1">
      <alignment horizontal="justify" vertical="center" wrapText="1"/>
      <protection locked="0"/>
    </xf>
    <xf numFmtId="4" fontId="20" fillId="6" borderId="3" xfId="142" applyNumberFormat="1" applyFont="1" applyFill="1" applyBorder="1" applyAlignment="1" applyProtection="1">
      <alignment horizontal="right" vertical="center"/>
      <protection locked="0"/>
    </xf>
    <xf numFmtId="0" fontId="23" fillId="6" borderId="15" xfId="0" applyFont="1" applyFill="1" applyBorder="1" applyAlignment="1">
      <alignment horizontal="justify" vertical="center" wrapText="1"/>
    </xf>
    <xf numFmtId="0" fontId="24" fillId="6" borderId="18" xfId="0" applyFont="1" applyFill="1" applyBorder="1" applyAlignment="1">
      <alignment horizontal="justify" vertical="center" wrapText="1"/>
    </xf>
    <xf numFmtId="0" fontId="24" fillId="6" borderId="19" xfId="0" applyFont="1" applyFill="1" applyBorder="1" applyAlignment="1">
      <alignment horizontal="justify" vertical="center" wrapText="1"/>
    </xf>
    <xf numFmtId="3" fontId="20" fillId="6" borderId="3" xfId="142" applyNumberFormat="1" applyFont="1" applyFill="1" applyBorder="1" applyAlignment="1" applyProtection="1">
      <alignment horizontal="right" vertical="center"/>
      <protection locked="0"/>
    </xf>
    <xf numFmtId="0" fontId="23" fillId="6" borderId="22" xfId="0" applyFont="1" applyFill="1" applyBorder="1" applyAlignment="1">
      <alignment horizontal="justify" vertical="center" wrapText="1"/>
    </xf>
    <xf numFmtId="0" fontId="24" fillId="6" borderId="15" xfId="0" applyFont="1" applyFill="1" applyBorder="1" applyAlignment="1">
      <alignment horizontal="justify" vertical="center" wrapText="1"/>
    </xf>
    <xf numFmtId="0" fontId="23" fillId="6" borderId="19" xfId="0" applyFont="1" applyFill="1" applyBorder="1" applyAlignment="1">
      <alignment horizontal="justify" vertical="center" wrapText="1"/>
    </xf>
    <xf numFmtId="0" fontId="23" fillId="6" borderId="11" xfId="0" applyFont="1" applyFill="1" applyBorder="1" applyAlignment="1">
      <alignment horizontal="justify" vertical="center" wrapText="1"/>
    </xf>
    <xf numFmtId="0" fontId="24" fillId="6" borderId="17" xfId="0" applyFont="1" applyFill="1" applyBorder="1" applyAlignment="1">
      <alignment horizontal="justify" vertical="center" wrapText="1"/>
    </xf>
    <xf numFmtId="0" fontId="23" fillId="6" borderId="21" xfId="0" applyFont="1" applyFill="1" applyBorder="1" applyAlignment="1">
      <alignment horizontal="justify" vertical="center" wrapText="1"/>
    </xf>
    <xf numFmtId="0" fontId="20" fillId="6" borderId="14" xfId="0" applyFont="1" applyFill="1" applyBorder="1" applyAlignment="1">
      <alignment horizontal="justify" vertical="center" wrapText="1"/>
    </xf>
    <xf numFmtId="0" fontId="20" fillId="6" borderId="14" xfId="0" applyFont="1" applyFill="1" applyBorder="1" applyAlignment="1">
      <alignment horizontal="justify" vertical="center"/>
    </xf>
    <xf numFmtId="181" fontId="20" fillId="6" borderId="3" xfId="112" applyNumberFormat="1" applyFont="1" applyFill="1" applyBorder="1" applyAlignment="1" applyProtection="1">
      <alignment vertical="center" wrapText="1"/>
      <protection locked="0"/>
    </xf>
    <xf numFmtId="183" fontId="20" fillId="6" borderId="3" xfId="142" applyNumberFormat="1" applyFont="1" applyFill="1" applyBorder="1" applyAlignment="1" applyProtection="1">
      <alignment horizontal="right" vertical="center"/>
      <protection locked="0"/>
    </xf>
    <xf numFmtId="0" fontId="20" fillId="0" borderId="16" xfId="0" applyFont="1" applyFill="1" applyBorder="1" applyAlignment="1">
      <alignment horizontal="justify" vertical="center" wrapText="1"/>
    </xf>
    <xf numFmtId="0" fontId="20" fillId="0" borderId="20" xfId="0" applyFont="1" applyFill="1" applyBorder="1" applyAlignment="1">
      <alignment horizontal="justify" vertical="center" wrapText="1"/>
    </xf>
    <xf numFmtId="41" fontId="20" fillId="6" borderId="13" xfId="112" applyFont="1" applyFill="1" applyBorder="1" applyAlignment="1" applyProtection="1">
      <alignment horizontal="right" vertical="center" wrapText="1"/>
      <protection locked="0"/>
    </xf>
    <xf numFmtId="185" fontId="20" fillId="6" borderId="13" xfId="143" applyNumberFormat="1" applyFont="1" applyFill="1" applyBorder="1" applyAlignment="1" applyProtection="1">
      <alignment horizontal="right" vertical="center" wrapText="1"/>
      <protection locked="0"/>
    </xf>
    <xf numFmtId="46" fontId="20" fillId="6" borderId="3" xfId="0" applyNumberFormat="1" applyFont="1" applyFill="1" applyBorder="1" applyAlignment="1" applyProtection="1">
      <alignment horizontal="justify" vertical="center" wrapText="1"/>
    </xf>
    <xf numFmtId="0" fontId="24" fillId="0" borderId="3" xfId="0" applyFont="1" applyFill="1" applyBorder="1" applyAlignment="1">
      <alignment vertical="center" wrapText="1"/>
    </xf>
    <xf numFmtId="0" fontId="21" fillId="6" borderId="6" xfId="0" applyFont="1" applyFill="1" applyBorder="1" applyAlignment="1">
      <alignment horizontal="justify" vertical="center" wrapText="1"/>
    </xf>
    <xf numFmtId="0" fontId="21" fillId="6" borderId="3" xfId="0" applyFont="1" applyFill="1" applyBorder="1" applyAlignment="1">
      <alignment horizontal="justify" vertical="center" wrapText="1"/>
    </xf>
    <xf numFmtId="0" fontId="21" fillId="6" borderId="6" xfId="0" applyFont="1" applyFill="1" applyBorder="1" applyAlignment="1">
      <alignment horizontal="justify" vertical="center" wrapText="1"/>
    </xf>
    <xf numFmtId="0" fontId="21" fillId="6" borderId="6" xfId="0" applyFont="1" applyFill="1" applyBorder="1" applyAlignment="1">
      <alignment horizontal="right" vertical="center" wrapText="1"/>
    </xf>
    <xf numFmtId="9" fontId="21" fillId="6" borderId="0" xfId="99" applyFont="1" applyFill="1" applyBorder="1" applyAlignment="1">
      <alignment horizontal="justify" vertical="center" wrapText="1"/>
    </xf>
    <xf numFmtId="0" fontId="20" fillId="6" borderId="0" xfId="0" applyFont="1" applyFill="1" applyBorder="1" applyAlignment="1">
      <alignment horizontal="right" vertical="center"/>
    </xf>
    <xf numFmtId="0" fontId="21" fillId="6" borderId="0" xfId="0" applyFont="1" applyFill="1" applyBorder="1" applyAlignment="1">
      <alignment horizontal="right" vertical="center" wrapText="1"/>
    </xf>
    <xf numFmtId="0" fontId="25" fillId="0" borderId="0" xfId="0" applyFont="1" applyFill="1" applyBorder="1" applyAlignment="1">
      <alignment vertical="center"/>
    </xf>
    <xf numFmtId="41" fontId="21" fillId="6" borderId="0" xfId="112" applyFont="1" applyFill="1" applyBorder="1" applyAlignment="1">
      <alignment horizontal="right" vertical="center" wrapText="1"/>
    </xf>
    <xf numFmtId="185" fontId="20" fillId="6" borderId="0" xfId="0" applyNumberFormat="1" applyFont="1" applyFill="1" applyBorder="1" applyAlignment="1">
      <alignment horizontal="right" vertical="center" wrapText="1"/>
    </xf>
    <xf numFmtId="185" fontId="20" fillId="6" borderId="0" xfId="0" applyNumberFormat="1" applyFont="1" applyFill="1" applyAlignment="1">
      <alignment horizontal="right" vertical="center" wrapText="1"/>
    </xf>
    <xf numFmtId="0" fontId="20" fillId="6" borderId="3" xfId="0" quotePrefix="1" applyFont="1" applyFill="1" applyBorder="1" applyAlignment="1">
      <alignment horizontal="justify" vertical="center" wrapText="1"/>
    </xf>
    <xf numFmtId="0" fontId="20" fillId="6" borderId="3" xfId="0" applyFont="1" applyFill="1" applyBorder="1" applyAlignment="1">
      <alignment horizontal="right" vertical="center" wrapText="1"/>
    </xf>
    <xf numFmtId="181" fontId="20" fillId="6" borderId="3" xfId="112" applyNumberFormat="1" applyFont="1" applyFill="1" applyBorder="1" applyAlignment="1">
      <alignment horizontal="right" vertical="center" wrapText="1"/>
    </xf>
    <xf numFmtId="2" fontId="20" fillId="6" borderId="3" xfId="0" applyNumberFormat="1" applyFont="1" applyFill="1" applyBorder="1" applyAlignment="1">
      <alignment horizontal="justify" vertical="center" wrapText="1"/>
    </xf>
    <xf numFmtId="9" fontId="20" fillId="6" borderId="0" xfId="99" applyFont="1" applyFill="1" applyBorder="1" applyAlignment="1">
      <alignment horizontal="justify" vertical="center" wrapText="1"/>
    </xf>
    <xf numFmtId="41" fontId="20" fillId="6" borderId="0" xfId="112" applyFont="1" applyFill="1" applyBorder="1" applyAlignment="1">
      <alignment horizontal="right" vertical="center" wrapText="1"/>
    </xf>
    <xf numFmtId="180" fontId="20" fillId="6" borderId="3" xfId="99" applyNumberFormat="1" applyFont="1" applyFill="1" applyBorder="1" applyAlignment="1">
      <alignment horizontal="right" vertical="center" wrapText="1"/>
    </xf>
    <xf numFmtId="182" fontId="20" fillId="6" borderId="3" xfId="112" applyNumberFormat="1" applyFont="1" applyFill="1" applyBorder="1" applyAlignment="1">
      <alignment horizontal="right" vertical="center" wrapText="1"/>
    </xf>
    <xf numFmtId="188" fontId="20" fillId="6" borderId="3" xfId="112" applyNumberFormat="1" applyFont="1" applyFill="1" applyBorder="1" applyAlignment="1">
      <alignment horizontal="right" vertical="center" wrapText="1"/>
    </xf>
    <xf numFmtId="41" fontId="20" fillId="6" borderId="0" xfId="112" applyFont="1" applyFill="1" applyBorder="1" applyAlignment="1">
      <alignment horizontal="justify" vertical="center" wrapText="1"/>
    </xf>
    <xf numFmtId="181" fontId="20" fillId="6" borderId="0" xfId="0" applyNumberFormat="1" applyFont="1" applyFill="1" applyBorder="1" applyAlignment="1">
      <alignment horizontal="right" vertical="center" wrapText="1"/>
    </xf>
    <xf numFmtId="0" fontId="25" fillId="0" borderId="0" xfId="0" applyFont="1" applyFill="1" applyBorder="1" applyAlignment="1">
      <alignment horizontal="justify" vertical="center"/>
    </xf>
    <xf numFmtId="41" fontId="20" fillId="6" borderId="3" xfId="112" applyFont="1" applyFill="1" applyBorder="1" applyAlignment="1">
      <alignment horizontal="justify" vertical="center" wrapText="1"/>
    </xf>
    <xf numFmtId="41" fontId="20" fillId="6" borderId="0" xfId="0" applyNumberFormat="1" applyFont="1" applyFill="1" applyBorder="1" applyAlignment="1">
      <alignment horizontal="right" vertical="center" wrapText="1"/>
    </xf>
    <xf numFmtId="181" fontId="20" fillId="6" borderId="0" xfId="112" applyNumberFormat="1" applyFont="1" applyFill="1" applyBorder="1" applyAlignment="1">
      <alignment horizontal="justify" vertical="center" wrapText="1"/>
    </xf>
    <xf numFmtId="9" fontId="20" fillId="6" borderId="3" xfId="99" applyFont="1" applyFill="1" applyBorder="1" applyAlignment="1">
      <alignment horizontal="right" vertical="center" wrapText="1"/>
    </xf>
    <xf numFmtId="0" fontId="20" fillId="0" borderId="0" xfId="0" applyFont="1" applyAlignment="1">
      <alignment horizontal="right" vertical="center" wrapText="1"/>
    </xf>
    <xf numFmtId="9" fontId="20" fillId="0" borderId="0" xfId="99" applyFont="1" applyAlignment="1">
      <alignment horizontal="justify" vertical="center" wrapText="1"/>
    </xf>
    <xf numFmtId="0" fontId="20" fillId="6" borderId="0" xfId="0" applyFont="1" applyFill="1" applyAlignment="1">
      <alignment horizontal="right" vertical="center" wrapText="1"/>
    </xf>
    <xf numFmtId="41" fontId="20" fillId="0" borderId="0" xfId="112" applyFont="1" applyAlignment="1">
      <alignment horizontal="right" vertical="center" wrapText="1"/>
    </xf>
    <xf numFmtId="185" fontId="20" fillId="0" borderId="0" xfId="0" applyNumberFormat="1" applyFont="1" applyAlignment="1">
      <alignment horizontal="right" vertical="center" wrapText="1"/>
    </xf>
    <xf numFmtId="41" fontId="20" fillId="0" borderId="0" xfId="112" applyFont="1" applyBorder="1" applyAlignment="1">
      <alignment horizontal="justify" vertical="center" wrapText="1"/>
    </xf>
    <xf numFmtId="184" fontId="20" fillId="0" borderId="0" xfId="0" applyNumberFormat="1" applyFont="1" applyAlignment="1">
      <alignment horizontal="right" vertical="center" wrapText="1"/>
    </xf>
    <xf numFmtId="2" fontId="20" fillId="0" borderId="0" xfId="0" applyNumberFormat="1" applyFont="1" applyAlignment="1">
      <alignment horizontal="right" vertical="center" wrapText="1"/>
    </xf>
    <xf numFmtId="0" fontId="21" fillId="5" borderId="3" xfId="0" applyFont="1" applyFill="1" applyBorder="1" applyAlignment="1">
      <alignment horizontal="center" vertical="center" wrapText="1"/>
    </xf>
    <xf numFmtId="0" fontId="21" fillId="5" borderId="3"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9" xfId="0" applyFont="1" applyFill="1" applyBorder="1" applyAlignment="1" applyProtection="1">
      <alignment horizontal="center" vertical="center" wrapText="1"/>
      <protection locked="0"/>
    </xf>
    <xf numFmtId="0" fontId="21" fillId="0" borderId="0" xfId="0" applyFont="1" applyBorder="1" applyAlignment="1">
      <alignment horizontal="right" vertical="center" wrapText="1"/>
    </xf>
    <xf numFmtId="2" fontId="21" fillId="6" borderId="3" xfId="0" applyNumberFormat="1" applyFont="1" applyFill="1" applyBorder="1" applyAlignment="1" applyProtection="1">
      <alignment horizontal="right" vertical="center" wrapText="1"/>
      <protection locked="0"/>
    </xf>
    <xf numFmtId="4" fontId="21" fillId="6" borderId="3" xfId="112" applyNumberFormat="1" applyFont="1" applyFill="1" applyBorder="1" applyAlignment="1">
      <alignment horizontal="right" vertical="center" wrapText="1"/>
    </xf>
    <xf numFmtId="4" fontId="21" fillId="6" borderId="3" xfId="142" applyNumberFormat="1" applyFont="1" applyFill="1" applyBorder="1" applyAlignment="1">
      <alignment horizontal="right" vertical="center" wrapText="1"/>
    </xf>
    <xf numFmtId="4" fontId="21" fillId="6" borderId="3" xfId="112" applyNumberFormat="1" applyFont="1" applyFill="1" applyBorder="1" applyAlignment="1" applyProtection="1">
      <alignment horizontal="right" vertical="center" wrapText="1"/>
      <protection locked="0"/>
    </xf>
    <xf numFmtId="4" fontId="21" fillId="6" borderId="3" xfId="142" applyNumberFormat="1" applyFont="1" applyFill="1" applyBorder="1" applyAlignment="1" applyProtection="1">
      <alignment horizontal="right" vertical="center" wrapText="1"/>
      <protection locked="0"/>
    </xf>
    <xf numFmtId="0" fontId="21" fillId="0" borderId="0" xfId="0" applyFont="1" applyAlignment="1">
      <alignment horizontal="right" vertical="center" wrapText="1"/>
    </xf>
    <xf numFmtId="0" fontId="21" fillId="5" borderId="13" xfId="0" applyFont="1" applyFill="1" applyBorder="1" applyAlignment="1" applyProtection="1">
      <alignment horizontal="center" vertical="center" wrapText="1"/>
      <protection locked="0"/>
    </xf>
    <xf numFmtId="0" fontId="21" fillId="5" borderId="23" xfId="0" applyFont="1" applyFill="1" applyBorder="1" applyAlignment="1" applyProtection="1">
      <alignment horizontal="center" vertical="center" wrapText="1"/>
      <protection locked="0"/>
    </xf>
    <xf numFmtId="0" fontId="21" fillId="5" borderId="6" xfId="0" applyFont="1" applyFill="1" applyBorder="1" applyAlignment="1" applyProtection="1">
      <alignment horizontal="center" vertical="center" wrapText="1"/>
      <protection locked="0"/>
    </xf>
    <xf numFmtId="9" fontId="21" fillId="5" borderId="13" xfId="99" applyFont="1" applyFill="1" applyBorder="1" applyAlignment="1" applyProtection="1">
      <alignment horizontal="center" vertical="center" wrapText="1"/>
      <protection locked="0"/>
    </xf>
    <xf numFmtId="9" fontId="21" fillId="5" borderId="23" xfId="99" applyFont="1" applyFill="1" applyBorder="1" applyAlignment="1" applyProtection="1">
      <alignment horizontal="center" vertical="center" wrapText="1"/>
      <protection locked="0"/>
    </xf>
    <xf numFmtId="9" fontId="21" fillId="5" borderId="6" xfId="99" applyFont="1" applyFill="1" applyBorder="1" applyAlignment="1" applyProtection="1">
      <alignment horizontal="center" vertical="center" wrapText="1"/>
      <protection locked="0"/>
    </xf>
    <xf numFmtId="0" fontId="20" fillId="0" borderId="14" xfId="0" applyFont="1" applyFill="1" applyBorder="1" applyAlignment="1">
      <alignment horizontal="justify" vertical="center" wrapText="1"/>
    </xf>
    <xf numFmtId="0" fontId="24" fillId="0" borderId="3" xfId="0" applyFont="1" applyFill="1" applyBorder="1" applyAlignment="1">
      <alignment horizontal="justify" vertical="center" wrapText="1"/>
    </xf>
    <xf numFmtId="0" fontId="25" fillId="0" borderId="0" xfId="0" applyFont="1" applyFill="1" applyBorder="1" applyAlignment="1">
      <alignment horizontal="justify" vertical="center" wrapText="1"/>
    </xf>
    <xf numFmtId="0" fontId="21" fillId="5" borderId="3" xfId="0" applyFont="1" applyFill="1" applyBorder="1" applyAlignment="1" applyProtection="1">
      <alignment horizontal="justify" vertical="center" wrapText="1"/>
    </xf>
    <xf numFmtId="0" fontId="21" fillId="5" borderId="3" xfId="0" applyFont="1" applyFill="1" applyBorder="1" applyAlignment="1" applyProtection="1">
      <alignment horizontal="justify" vertical="center" wrapText="1"/>
      <protection locked="0"/>
    </xf>
    <xf numFmtId="0" fontId="21" fillId="5" borderId="3" xfId="0" applyFont="1" applyFill="1" applyBorder="1" applyAlignment="1" applyProtection="1">
      <alignment horizontal="right" vertical="center" wrapText="1"/>
      <protection locked="0"/>
    </xf>
    <xf numFmtId="0" fontId="21" fillId="5" borderId="24" xfId="0" applyFont="1" applyFill="1" applyBorder="1" applyAlignment="1" applyProtection="1">
      <alignment horizontal="center" vertical="center" wrapText="1"/>
      <protection locked="0"/>
    </xf>
    <xf numFmtId="0" fontId="21" fillId="5" borderId="25" xfId="0" applyFont="1" applyFill="1" applyBorder="1" applyAlignment="1" applyProtection="1">
      <alignment horizontal="center" vertical="center" wrapText="1"/>
      <protection locked="0"/>
    </xf>
    <xf numFmtId="0" fontId="21" fillId="5" borderId="4" xfId="0" applyFont="1" applyFill="1" applyBorder="1" applyAlignment="1" applyProtection="1">
      <alignment horizontal="center" vertical="center" wrapText="1"/>
      <protection locked="0"/>
    </xf>
    <xf numFmtId="0" fontId="21" fillId="5" borderId="24" xfId="0" applyFont="1" applyFill="1" applyBorder="1" applyAlignment="1" applyProtection="1">
      <alignment horizontal="center" vertical="center"/>
      <protection locked="0"/>
    </xf>
    <xf numFmtId="0" fontId="21" fillId="5" borderId="25" xfId="0" applyFont="1" applyFill="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wrapText="1"/>
      <protection locked="0"/>
    </xf>
    <xf numFmtId="0" fontId="21" fillId="5" borderId="12" xfId="0" applyFont="1" applyFill="1" applyBorder="1" applyAlignment="1" applyProtection="1">
      <alignment horizontal="center" vertical="center" wrapText="1"/>
      <protection locked="0"/>
    </xf>
    <xf numFmtId="0" fontId="21" fillId="5" borderId="26" xfId="0" applyFont="1" applyFill="1" applyBorder="1" applyAlignment="1" applyProtection="1">
      <alignment horizontal="center" vertical="center" wrapText="1"/>
      <protection locked="0"/>
    </xf>
    <xf numFmtId="0" fontId="21" fillId="5" borderId="11" xfId="0" applyFont="1" applyFill="1" applyBorder="1" applyAlignment="1" applyProtection="1">
      <alignment horizontal="center" vertical="center"/>
      <protection locked="0"/>
    </xf>
    <xf numFmtId="0" fontId="21" fillId="5" borderId="12" xfId="0" applyFont="1" applyFill="1" applyBorder="1" applyAlignment="1" applyProtection="1">
      <alignment horizontal="center" vertical="center"/>
      <protection locked="0"/>
    </xf>
    <xf numFmtId="0" fontId="21" fillId="5" borderId="26" xfId="0" applyFont="1" applyFill="1" applyBorder="1" applyAlignment="1" applyProtection="1">
      <alignment horizontal="center" vertical="center"/>
      <protection locked="0"/>
    </xf>
    <xf numFmtId="0" fontId="21" fillId="5" borderId="3" xfId="0" applyFont="1" applyFill="1" applyBorder="1" applyAlignment="1" applyProtection="1">
      <alignment horizontal="right" vertical="center"/>
      <protection locked="0"/>
    </xf>
    <xf numFmtId="41" fontId="21" fillId="5" borderId="3" xfId="112" applyFont="1" applyFill="1" applyBorder="1" applyAlignment="1" applyProtection="1">
      <alignment horizontal="center" vertical="center" wrapText="1"/>
      <protection locked="0"/>
    </xf>
    <xf numFmtId="185" fontId="21" fillId="5" borderId="3" xfId="113" applyNumberFormat="1" applyFont="1" applyFill="1" applyBorder="1" applyAlignment="1" applyProtection="1">
      <alignment horizontal="center" vertical="center" wrapText="1"/>
      <protection locked="0"/>
    </xf>
  </cellXfs>
  <cellStyles count="144">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744697</xdr:colOff>
      <xdr:row>1</xdr:row>
      <xdr:rowOff>38876</xdr:rowOff>
    </xdr:from>
    <xdr:to>
      <xdr:col>3</xdr:col>
      <xdr:colOff>660919</xdr:colOff>
      <xdr:row>4</xdr:row>
      <xdr:rowOff>161675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881" y="204106"/>
          <a:ext cx="1063109" cy="618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97"/>
  <sheetViews>
    <sheetView showGridLines="0" tabSelected="1" topLeftCell="H1" zoomScale="98" zoomScaleNormal="98" zoomScaleSheetLayoutView="70" zoomScalePageLayoutView="25" workbookViewId="0">
      <pane ySplit="11" topLeftCell="A36" activePane="bottomLeft" state="frozen"/>
      <selection pane="bottomLeft" activeCell="Q75" sqref="Q75"/>
    </sheetView>
  </sheetViews>
  <sheetFormatPr baseColWidth="10" defaultColWidth="9.85546875" defaultRowHeight="12.75" customHeight="1" x14ac:dyDescent="0.2"/>
  <cols>
    <col min="1" max="1" width="2" style="12" customWidth="1"/>
    <col min="2" max="2" width="11.42578125" style="12" customWidth="1"/>
    <col min="3" max="3" width="17.140625" style="12" customWidth="1"/>
    <col min="4" max="4" width="21" style="12" customWidth="1"/>
    <col min="5" max="5" width="18.42578125" style="12" customWidth="1"/>
    <col min="6" max="6" width="12" style="12" customWidth="1"/>
    <col min="7" max="7" width="23.28515625" style="12" customWidth="1"/>
    <col min="8" max="8" width="16.85546875" style="12" customWidth="1"/>
    <col min="9" max="9" width="10" style="12" customWidth="1"/>
    <col min="10" max="10" width="13.85546875" style="12" customWidth="1"/>
    <col min="11" max="11" width="12.5703125" style="168" customWidth="1"/>
    <col min="12" max="12" width="11" style="150" customWidth="1"/>
    <col min="13" max="13" width="10.5703125" style="150" customWidth="1"/>
    <col min="14" max="14" width="11" style="150" customWidth="1"/>
    <col min="15" max="16" width="13" style="150" customWidth="1"/>
    <col min="17" max="17" width="10.5703125" style="150" customWidth="1"/>
    <col min="18" max="19" width="12.85546875" style="150" customWidth="1"/>
    <col min="20" max="21" width="13.42578125" style="150" customWidth="1"/>
    <col min="22" max="22" width="15.28515625" style="12" customWidth="1"/>
    <col min="23" max="23" width="18.42578125" style="151" customWidth="1"/>
    <col min="24" max="24" width="4.42578125" style="150" customWidth="1"/>
    <col min="25" max="29" width="4.85546875" style="150" customWidth="1"/>
    <col min="30" max="30" width="8.140625" style="150" customWidth="1"/>
    <col min="31" max="32" width="4.85546875" style="150" customWidth="1"/>
    <col min="33" max="33" width="7.7109375" style="150" customWidth="1"/>
    <col min="34" max="35" width="4.85546875" style="150" customWidth="1"/>
    <col min="36" max="36" width="14.28515625" style="152" customWidth="1"/>
    <col min="37" max="37" width="15.42578125" style="150" customWidth="1"/>
    <col min="38" max="38" width="39.7109375" style="12" customWidth="1"/>
    <col min="39" max="39" width="30.28515625" style="12" customWidth="1"/>
    <col min="40" max="40" width="30" style="12" customWidth="1"/>
    <col min="41" max="41" width="16.85546875" style="153" hidden="1" customWidth="1"/>
    <col min="42" max="42" width="16.5703125" style="153" hidden="1" customWidth="1"/>
    <col min="43" max="44" width="16.5703125" style="154" hidden="1" customWidth="1"/>
    <col min="45" max="46" width="15.140625" style="155" customWidth="1"/>
    <col min="47" max="47" width="15.140625" style="5" customWidth="1"/>
    <col min="48" max="48" width="14" style="5" customWidth="1"/>
    <col min="49" max="16384" width="9.85546875" style="5"/>
  </cols>
  <sheetData>
    <row r="1" spans="1:48" ht="12.75" customHeight="1" x14ac:dyDescent="0.2">
      <c r="A1" s="5"/>
      <c r="B1" s="5"/>
      <c r="C1" s="5"/>
      <c r="D1" s="5"/>
      <c r="E1" s="5"/>
      <c r="F1" s="5"/>
      <c r="G1" s="5"/>
      <c r="H1" s="5"/>
      <c r="I1" s="5"/>
      <c r="J1" s="5"/>
      <c r="K1" s="162"/>
      <c r="L1" s="7"/>
      <c r="M1" s="7"/>
      <c r="N1" s="7"/>
      <c r="O1" s="7"/>
      <c r="P1" s="7"/>
      <c r="Q1" s="7"/>
      <c r="R1" s="7"/>
      <c r="S1" s="7"/>
      <c r="T1" s="7"/>
      <c r="U1" s="7"/>
      <c r="V1" s="5"/>
      <c r="W1" s="8"/>
      <c r="X1" s="7"/>
      <c r="Y1" s="7"/>
      <c r="Z1" s="7"/>
      <c r="AA1" s="7"/>
      <c r="AB1" s="7"/>
      <c r="AC1" s="7"/>
      <c r="AD1" s="7"/>
      <c r="AE1" s="7"/>
      <c r="AF1" s="7"/>
      <c r="AG1" s="7"/>
      <c r="AH1" s="7"/>
      <c r="AI1" s="7"/>
      <c r="AJ1" s="9"/>
      <c r="AK1" s="7"/>
      <c r="AL1" s="5"/>
      <c r="AM1" s="5"/>
      <c r="AN1" s="5"/>
      <c r="AO1" s="10"/>
      <c r="AP1" s="10"/>
      <c r="AQ1" s="11"/>
      <c r="AR1" s="11"/>
      <c r="AS1" s="5"/>
      <c r="AT1" s="5"/>
    </row>
    <row r="2" spans="1:48" ht="12.75" customHeight="1" x14ac:dyDescent="0.2">
      <c r="B2" s="13"/>
      <c r="C2" s="13"/>
      <c r="D2" s="13"/>
      <c r="E2" s="13"/>
      <c r="F2" s="13"/>
      <c r="G2" s="14" t="s">
        <v>2311</v>
      </c>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5"/>
      <c r="AT2" s="5"/>
      <c r="AV2" s="15" t="s">
        <v>2258</v>
      </c>
    </row>
    <row r="3" spans="1:48" ht="12.75" customHeight="1" x14ac:dyDescent="0.2">
      <c r="B3" s="13"/>
      <c r="C3" s="13"/>
      <c r="D3" s="13"/>
      <c r="E3" s="13"/>
      <c r="F3" s="13"/>
      <c r="G3" s="14" t="s">
        <v>2309</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5"/>
      <c r="AT3" s="5"/>
      <c r="AV3" s="15" t="s">
        <v>2259</v>
      </c>
    </row>
    <row r="4" spans="1:48" ht="12.75" customHeight="1" x14ac:dyDescent="0.2">
      <c r="B4" s="13"/>
      <c r="C4" s="13"/>
      <c r="D4" s="13"/>
      <c r="E4" s="13"/>
      <c r="F4" s="13"/>
      <c r="G4" s="14" t="s">
        <v>2254</v>
      </c>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5"/>
      <c r="AT4" s="5"/>
      <c r="AV4" s="15" t="s">
        <v>2260</v>
      </c>
    </row>
    <row r="5" spans="1:48" ht="12.75" customHeight="1" x14ac:dyDescent="0.2">
      <c r="B5" s="13"/>
      <c r="C5" s="13"/>
      <c r="D5" s="13"/>
      <c r="E5" s="13"/>
      <c r="F5" s="13"/>
      <c r="G5" s="14" t="s">
        <v>2310</v>
      </c>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5"/>
      <c r="AT5" s="5"/>
      <c r="AV5" s="15" t="s">
        <v>2261</v>
      </c>
    </row>
    <row r="6" spans="1:48" ht="12.75" customHeight="1" x14ac:dyDescent="0.2">
      <c r="B6" s="16" t="s">
        <v>2427</v>
      </c>
      <c r="C6" s="16"/>
      <c r="D6" s="16"/>
      <c r="E6" s="16"/>
      <c r="F6" s="16"/>
      <c r="G6" s="17" t="s">
        <v>2428</v>
      </c>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9"/>
      <c r="AS6" s="5"/>
      <c r="AT6" s="5"/>
    </row>
    <row r="7" spans="1:48" ht="12.75" customHeight="1" x14ac:dyDescent="0.2">
      <c r="B7" s="16" t="s">
        <v>2426</v>
      </c>
      <c r="C7" s="16"/>
      <c r="D7" s="16"/>
      <c r="E7" s="16"/>
      <c r="F7" s="16"/>
      <c r="G7" s="17" t="s">
        <v>2438</v>
      </c>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9"/>
      <c r="AS7" s="5"/>
      <c r="AT7" s="5"/>
    </row>
    <row r="8" spans="1:48" ht="12.75" customHeight="1" x14ac:dyDescent="0.2">
      <c r="B8" s="16" t="s">
        <v>2268</v>
      </c>
      <c r="C8" s="16"/>
      <c r="D8" s="16"/>
      <c r="E8" s="16"/>
      <c r="F8" s="16"/>
      <c r="G8" s="20" t="s">
        <v>2490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5"/>
      <c r="AT8" s="5"/>
    </row>
    <row r="9" spans="1:48" ht="12.75" customHeight="1" x14ac:dyDescent="0.2">
      <c r="B9" s="158" t="s">
        <v>2586</v>
      </c>
      <c r="C9" s="158"/>
      <c r="D9" s="158"/>
      <c r="E9" s="158"/>
      <c r="F9" s="21" t="s">
        <v>2585</v>
      </c>
      <c r="G9" s="21"/>
      <c r="H9" s="21"/>
      <c r="I9" s="21"/>
      <c r="J9" s="160" t="s">
        <v>685</v>
      </c>
      <c r="K9" s="161"/>
      <c r="L9" s="160" t="s">
        <v>685</v>
      </c>
      <c r="M9" s="161"/>
      <c r="N9" s="160" t="s">
        <v>685</v>
      </c>
      <c r="O9" s="161"/>
      <c r="P9" s="160" t="s">
        <v>685</v>
      </c>
      <c r="Q9" s="161"/>
      <c r="R9" s="160" t="s">
        <v>685</v>
      </c>
      <c r="S9" s="161"/>
      <c r="T9" s="160" t="s">
        <v>685</v>
      </c>
      <c r="U9" s="161"/>
      <c r="V9" s="169" t="s">
        <v>2240</v>
      </c>
      <c r="W9" s="172" t="s">
        <v>2255</v>
      </c>
      <c r="X9" s="181" t="s">
        <v>2590</v>
      </c>
      <c r="Y9" s="182"/>
      <c r="Z9" s="182"/>
      <c r="AA9" s="182"/>
      <c r="AB9" s="182"/>
      <c r="AC9" s="182"/>
      <c r="AD9" s="182"/>
      <c r="AE9" s="182"/>
      <c r="AF9" s="182"/>
      <c r="AG9" s="182"/>
      <c r="AH9" s="182"/>
      <c r="AI9" s="182"/>
      <c r="AJ9" s="183"/>
      <c r="AK9" s="184" t="s">
        <v>2587</v>
      </c>
      <c r="AL9" s="185"/>
      <c r="AM9" s="185"/>
      <c r="AN9" s="186"/>
      <c r="AO9" s="22" t="s">
        <v>2588</v>
      </c>
      <c r="AP9" s="23"/>
      <c r="AQ9" s="23"/>
      <c r="AR9" s="23"/>
      <c r="AS9" s="23"/>
      <c r="AT9" s="23"/>
    </row>
    <row r="10" spans="1:48" ht="12.75" customHeight="1" x14ac:dyDescent="0.2">
      <c r="B10" s="158"/>
      <c r="C10" s="158"/>
      <c r="D10" s="158"/>
      <c r="E10" s="158"/>
      <c r="F10" s="21"/>
      <c r="G10" s="21"/>
      <c r="H10" s="21"/>
      <c r="I10" s="21"/>
      <c r="J10" s="160" t="s">
        <v>2316</v>
      </c>
      <c r="K10" s="161"/>
      <c r="L10" s="159">
        <v>2020</v>
      </c>
      <c r="M10" s="159"/>
      <c r="N10" s="159">
        <v>2021</v>
      </c>
      <c r="O10" s="159"/>
      <c r="P10" s="159">
        <v>2022</v>
      </c>
      <c r="Q10" s="159"/>
      <c r="R10" s="159">
        <v>2023</v>
      </c>
      <c r="S10" s="159"/>
      <c r="T10" s="159">
        <v>2024</v>
      </c>
      <c r="U10" s="159"/>
      <c r="V10" s="170"/>
      <c r="W10" s="173"/>
      <c r="X10" s="187"/>
      <c r="Y10" s="188"/>
      <c r="Z10" s="188"/>
      <c r="AA10" s="188"/>
      <c r="AB10" s="188"/>
      <c r="AC10" s="188"/>
      <c r="AD10" s="188"/>
      <c r="AE10" s="188"/>
      <c r="AF10" s="188"/>
      <c r="AG10" s="188"/>
      <c r="AH10" s="188"/>
      <c r="AI10" s="188"/>
      <c r="AJ10" s="189"/>
      <c r="AK10" s="190"/>
      <c r="AL10" s="191"/>
      <c r="AM10" s="191"/>
      <c r="AN10" s="192"/>
      <c r="AO10" s="24"/>
      <c r="AP10" s="25"/>
      <c r="AQ10" s="25"/>
      <c r="AR10" s="25"/>
      <c r="AS10" s="25"/>
      <c r="AT10" s="25"/>
    </row>
    <row r="11" spans="1:48" s="6" customFormat="1" ht="22.5" customHeight="1" x14ac:dyDescent="0.2">
      <c r="A11" s="26"/>
      <c r="B11" s="27" t="s">
        <v>2262</v>
      </c>
      <c r="C11" s="178" t="s">
        <v>2274</v>
      </c>
      <c r="D11" s="178" t="s">
        <v>2393</v>
      </c>
      <c r="E11" s="178" t="s">
        <v>2263</v>
      </c>
      <c r="F11" s="178" t="s">
        <v>2315</v>
      </c>
      <c r="G11" s="178" t="s">
        <v>2314</v>
      </c>
      <c r="H11" s="178" t="s">
        <v>2238</v>
      </c>
      <c r="I11" s="178" t="s">
        <v>2239</v>
      </c>
      <c r="J11" s="179" t="s">
        <v>2257</v>
      </c>
      <c r="K11" s="180" t="s">
        <v>2256</v>
      </c>
      <c r="L11" s="180" t="s">
        <v>692</v>
      </c>
      <c r="M11" s="180" t="s">
        <v>2234</v>
      </c>
      <c r="N11" s="180" t="s">
        <v>692</v>
      </c>
      <c r="O11" s="180" t="s">
        <v>2234</v>
      </c>
      <c r="P11" s="180" t="s">
        <v>692</v>
      </c>
      <c r="Q11" s="180" t="s">
        <v>2234</v>
      </c>
      <c r="R11" s="180" t="s">
        <v>692</v>
      </c>
      <c r="S11" s="180" t="s">
        <v>2234</v>
      </c>
      <c r="T11" s="180" t="s">
        <v>692</v>
      </c>
      <c r="U11" s="180" t="s">
        <v>2234</v>
      </c>
      <c r="V11" s="171"/>
      <c r="W11" s="174"/>
      <c r="X11" s="193" t="s">
        <v>2241</v>
      </c>
      <c r="Y11" s="193" t="s">
        <v>2242</v>
      </c>
      <c r="Z11" s="193" t="s">
        <v>2243</v>
      </c>
      <c r="AA11" s="193" t="s">
        <v>2244</v>
      </c>
      <c r="AB11" s="193" t="s">
        <v>2245</v>
      </c>
      <c r="AC11" s="193" t="s">
        <v>2246</v>
      </c>
      <c r="AD11" s="193" t="s">
        <v>2247</v>
      </c>
      <c r="AE11" s="193" t="s">
        <v>2248</v>
      </c>
      <c r="AF11" s="193" t="s">
        <v>2249</v>
      </c>
      <c r="AG11" s="193" t="s">
        <v>2250</v>
      </c>
      <c r="AH11" s="193" t="s">
        <v>2251</v>
      </c>
      <c r="AI11" s="193" t="s">
        <v>2252</v>
      </c>
      <c r="AJ11" s="180" t="s">
        <v>2266</v>
      </c>
      <c r="AK11" s="180" t="s">
        <v>2253</v>
      </c>
      <c r="AL11" s="179" t="s">
        <v>2264</v>
      </c>
      <c r="AM11" s="179" t="s">
        <v>2267</v>
      </c>
      <c r="AN11" s="179" t="s">
        <v>2265</v>
      </c>
      <c r="AO11" s="194" t="s">
        <v>2589</v>
      </c>
      <c r="AP11" s="194" t="s">
        <v>2313</v>
      </c>
      <c r="AQ11" s="195" t="s">
        <v>2491</v>
      </c>
      <c r="AR11" s="195" t="s">
        <v>2464</v>
      </c>
      <c r="AS11" s="194" t="s">
        <v>2495</v>
      </c>
      <c r="AT11" s="194" t="s">
        <v>2494</v>
      </c>
    </row>
    <row r="12" spans="1:48" s="47" customFormat="1" ht="12.75" customHeight="1" x14ac:dyDescent="0.2">
      <c r="A12" s="28"/>
      <c r="B12" s="29"/>
      <c r="C12" s="30" t="s">
        <v>2272</v>
      </c>
      <c r="D12" s="30" t="s">
        <v>2429</v>
      </c>
      <c r="E12" s="30" t="s">
        <v>2394</v>
      </c>
      <c r="F12" s="30" t="s">
        <v>2357</v>
      </c>
      <c r="G12" s="30" t="s">
        <v>2356</v>
      </c>
      <c r="H12" s="30" t="s">
        <v>2358</v>
      </c>
      <c r="I12" s="30" t="s">
        <v>2269</v>
      </c>
      <c r="J12" s="31" t="s">
        <v>2261</v>
      </c>
      <c r="K12" s="163">
        <f>+L12+N12+P12+R12+T12</f>
        <v>159.30000000000001</v>
      </c>
      <c r="L12" s="32">
        <v>7.02</v>
      </c>
      <c r="M12" s="32">
        <v>0</v>
      </c>
      <c r="N12" s="33">
        <v>21.21</v>
      </c>
      <c r="O12" s="33">
        <v>14.93</v>
      </c>
      <c r="P12" s="33">
        <v>46</v>
      </c>
      <c r="Q12" s="33">
        <v>3.93</v>
      </c>
      <c r="R12" s="33">
        <v>57.07</v>
      </c>
      <c r="S12" s="34">
        <v>0</v>
      </c>
      <c r="T12" s="33">
        <v>28</v>
      </c>
      <c r="U12" s="34">
        <v>0</v>
      </c>
      <c r="V12" s="35">
        <f>M12+O12+S12+S12+U12</f>
        <v>14.93</v>
      </c>
      <c r="W12" s="36">
        <f>V12/146</f>
        <v>0.10226027397260273</v>
      </c>
      <c r="X12" s="37">
        <v>3.93</v>
      </c>
      <c r="Y12" s="37"/>
      <c r="Z12" s="37"/>
      <c r="AA12" s="48">
        <v>0</v>
      </c>
      <c r="AB12" s="48"/>
      <c r="AC12" s="48"/>
      <c r="AD12" s="48">
        <v>0</v>
      </c>
      <c r="AE12" s="48"/>
      <c r="AF12" s="48"/>
      <c r="AG12" s="48">
        <v>0</v>
      </c>
      <c r="AH12" s="48"/>
      <c r="AI12" s="48"/>
      <c r="AJ12" s="40">
        <f>X12</f>
        <v>3.93</v>
      </c>
      <c r="AK12" s="41">
        <f>X12/P12</f>
        <v>8.543478260869565E-2</v>
      </c>
      <c r="AL12" s="42" t="s">
        <v>2574</v>
      </c>
      <c r="AM12" s="43" t="s">
        <v>2465</v>
      </c>
      <c r="AN12" s="43" t="s">
        <v>2575</v>
      </c>
      <c r="AO12" s="44">
        <v>576083</v>
      </c>
      <c r="AP12" s="44">
        <v>175640</v>
      </c>
      <c r="AQ12" s="45">
        <v>1003531224934</v>
      </c>
      <c r="AR12" s="45">
        <v>733856678773</v>
      </c>
      <c r="AS12" s="46">
        <v>1058843</v>
      </c>
      <c r="AT12" s="46">
        <v>318001</v>
      </c>
    </row>
    <row r="13" spans="1:48" s="47" customFormat="1" ht="12.75" customHeight="1" x14ac:dyDescent="0.2">
      <c r="A13" s="28"/>
      <c r="B13" s="29"/>
      <c r="C13" s="30" t="s">
        <v>2272</v>
      </c>
      <c r="D13" s="30" t="s">
        <v>2429</v>
      </c>
      <c r="E13" s="30" t="s">
        <v>2394</v>
      </c>
      <c r="F13" s="30" t="s">
        <v>2481</v>
      </c>
      <c r="G13" s="30" t="s">
        <v>2356</v>
      </c>
      <c r="H13" s="30" t="s">
        <v>2480</v>
      </c>
      <c r="I13" s="30" t="s">
        <v>2269</v>
      </c>
      <c r="J13" s="31" t="s">
        <v>2261</v>
      </c>
      <c r="K13" s="163">
        <v>100</v>
      </c>
      <c r="L13" s="32">
        <v>0</v>
      </c>
      <c r="M13" s="32">
        <v>0</v>
      </c>
      <c r="N13" s="33">
        <v>50</v>
      </c>
      <c r="O13" s="33">
        <v>0</v>
      </c>
      <c r="P13" s="33">
        <v>85</v>
      </c>
      <c r="Q13" s="33">
        <v>0</v>
      </c>
      <c r="R13" s="33">
        <v>15</v>
      </c>
      <c r="S13" s="34">
        <v>0</v>
      </c>
      <c r="T13" s="33">
        <v>0</v>
      </c>
      <c r="U13" s="34">
        <v>0</v>
      </c>
      <c r="V13" s="35">
        <v>0</v>
      </c>
      <c r="W13" s="36">
        <v>0</v>
      </c>
      <c r="X13" s="48">
        <v>0</v>
      </c>
      <c r="Y13" s="48"/>
      <c r="Z13" s="48"/>
      <c r="AA13" s="48">
        <v>0</v>
      </c>
      <c r="AB13" s="48"/>
      <c r="AC13" s="48"/>
      <c r="AD13" s="48">
        <v>0</v>
      </c>
      <c r="AE13" s="48"/>
      <c r="AF13" s="48"/>
      <c r="AG13" s="48">
        <v>0</v>
      </c>
      <c r="AH13" s="48"/>
      <c r="AI13" s="48"/>
      <c r="AJ13" s="49">
        <v>0</v>
      </c>
      <c r="AK13" s="49">
        <v>0</v>
      </c>
      <c r="AL13" s="50"/>
      <c r="AM13" s="43"/>
      <c r="AN13" s="43"/>
      <c r="AO13" s="44"/>
      <c r="AP13" s="44"/>
      <c r="AQ13" s="45"/>
      <c r="AR13" s="45"/>
      <c r="AS13" s="46"/>
      <c r="AT13" s="46"/>
    </row>
    <row r="14" spans="1:48" s="47" customFormat="1" ht="12.75" customHeight="1" x14ac:dyDescent="0.2">
      <c r="A14" s="28"/>
      <c r="B14" s="29"/>
      <c r="C14" s="51" t="s">
        <v>2272</v>
      </c>
      <c r="D14" s="51" t="s">
        <v>2429</v>
      </c>
      <c r="E14" s="51" t="s">
        <v>2394</v>
      </c>
      <c r="F14" s="51" t="s">
        <v>2341</v>
      </c>
      <c r="G14" s="30" t="s">
        <v>2342</v>
      </c>
      <c r="H14" s="51" t="s">
        <v>2344</v>
      </c>
      <c r="I14" s="30" t="s">
        <v>2235</v>
      </c>
      <c r="J14" s="31" t="s">
        <v>2261</v>
      </c>
      <c r="K14" s="164">
        <f>L14+N14+P14+R14+T14</f>
        <v>56</v>
      </c>
      <c r="L14" s="52">
        <v>25.16</v>
      </c>
      <c r="M14" s="32">
        <v>25.16</v>
      </c>
      <c r="N14" s="52">
        <v>16.420000000000002</v>
      </c>
      <c r="O14" s="52">
        <v>16.420000000000002</v>
      </c>
      <c r="P14" s="52">
        <v>7</v>
      </c>
      <c r="Q14" s="52">
        <v>2.1</v>
      </c>
      <c r="R14" s="52">
        <v>5.42</v>
      </c>
      <c r="S14" s="34">
        <v>0</v>
      </c>
      <c r="T14" s="52">
        <v>2</v>
      </c>
      <c r="U14" s="34">
        <v>0</v>
      </c>
      <c r="V14" s="35">
        <f>M14+O14+S14+Q14+U14</f>
        <v>43.68</v>
      </c>
      <c r="W14" s="36">
        <f>(V14/K14)</f>
        <v>0.78</v>
      </c>
      <c r="X14" s="37">
        <v>2.1</v>
      </c>
      <c r="Y14" s="37"/>
      <c r="Z14" s="37"/>
      <c r="AA14" s="48">
        <v>0</v>
      </c>
      <c r="AB14" s="48"/>
      <c r="AC14" s="48"/>
      <c r="AD14" s="48">
        <v>0</v>
      </c>
      <c r="AE14" s="48"/>
      <c r="AF14" s="48"/>
      <c r="AG14" s="48">
        <v>0</v>
      </c>
      <c r="AH14" s="48"/>
      <c r="AI14" s="48"/>
      <c r="AJ14" s="40">
        <f>X14</f>
        <v>2.1</v>
      </c>
      <c r="AK14" s="41">
        <f>AJ14/P14</f>
        <v>0.3</v>
      </c>
      <c r="AL14" s="53" t="s">
        <v>2576</v>
      </c>
      <c r="AM14" s="43" t="s">
        <v>2577</v>
      </c>
      <c r="AN14" s="43" t="s">
        <v>2578</v>
      </c>
      <c r="AO14" s="54">
        <v>364</v>
      </c>
      <c r="AP14" s="54">
        <v>118</v>
      </c>
      <c r="AQ14" s="55">
        <v>207411000</v>
      </c>
      <c r="AR14" s="55">
        <v>207411000</v>
      </c>
      <c r="AS14" s="54">
        <v>337</v>
      </c>
      <c r="AT14" s="54">
        <v>308</v>
      </c>
    </row>
    <row r="15" spans="1:48" s="47" customFormat="1" ht="12.75" customHeight="1" x14ac:dyDescent="0.2">
      <c r="A15" s="28"/>
      <c r="B15" s="29"/>
      <c r="C15" s="51"/>
      <c r="D15" s="51"/>
      <c r="E15" s="51"/>
      <c r="F15" s="51"/>
      <c r="G15" s="30" t="s">
        <v>2342</v>
      </c>
      <c r="H15" s="51"/>
      <c r="I15" s="30" t="s">
        <v>2269</v>
      </c>
      <c r="J15" s="31" t="s">
        <v>2261</v>
      </c>
      <c r="K15" s="164">
        <f>L15+N15+P15+R15+T15</f>
        <v>230.73000000000002</v>
      </c>
      <c r="L15" s="52">
        <v>3.87</v>
      </c>
      <c r="M15" s="32">
        <v>0</v>
      </c>
      <c r="N15" s="52">
        <v>7.83</v>
      </c>
      <c r="O15" s="52">
        <v>4.97</v>
      </c>
      <c r="P15" s="52">
        <v>26.91</v>
      </c>
      <c r="Q15" s="52">
        <v>1.06</v>
      </c>
      <c r="R15" s="52">
        <v>99.82</v>
      </c>
      <c r="S15" s="34">
        <v>0</v>
      </c>
      <c r="T15" s="52">
        <v>92.3</v>
      </c>
      <c r="U15" s="34">
        <v>0</v>
      </c>
      <c r="V15" s="35">
        <f>M15+O15+S15+Q15+U15</f>
        <v>6.0299999999999994</v>
      </c>
      <c r="W15" s="36">
        <f>(V15/220.13)</f>
        <v>2.7392904192976873E-2</v>
      </c>
      <c r="X15" s="37">
        <v>1.06</v>
      </c>
      <c r="Y15" s="37"/>
      <c r="Z15" s="37"/>
      <c r="AA15" s="48">
        <v>0</v>
      </c>
      <c r="AB15" s="48"/>
      <c r="AC15" s="48"/>
      <c r="AD15" s="48">
        <v>0</v>
      </c>
      <c r="AE15" s="48"/>
      <c r="AF15" s="48"/>
      <c r="AG15" s="48">
        <v>0</v>
      </c>
      <c r="AH15" s="48"/>
      <c r="AI15" s="48"/>
      <c r="AJ15" s="40">
        <f>X15</f>
        <v>1.06</v>
      </c>
      <c r="AK15" s="41">
        <f>AJ15/P15</f>
        <v>3.9390561129691568E-2</v>
      </c>
      <c r="AL15" s="56"/>
      <c r="AM15" s="43"/>
      <c r="AN15" s="43"/>
      <c r="AO15" s="54">
        <v>25610</v>
      </c>
      <c r="AP15" s="54">
        <v>25501</v>
      </c>
      <c r="AQ15" s="57">
        <v>6999605616</v>
      </c>
      <c r="AR15" s="57">
        <v>5111893906</v>
      </c>
      <c r="AS15" s="58">
        <v>73501</v>
      </c>
      <c r="AT15" s="58">
        <v>178</v>
      </c>
    </row>
    <row r="16" spans="1:48" s="47" customFormat="1" ht="12.75" customHeight="1" x14ac:dyDescent="0.2">
      <c r="A16" s="28"/>
      <c r="B16" s="29"/>
      <c r="C16" s="51" t="s">
        <v>2272</v>
      </c>
      <c r="D16" s="51" t="s">
        <v>2429</v>
      </c>
      <c r="E16" s="51" t="s">
        <v>2394</v>
      </c>
      <c r="F16" s="30" t="s">
        <v>2450</v>
      </c>
      <c r="G16" s="30" t="s">
        <v>2360</v>
      </c>
      <c r="H16" s="30" t="s">
        <v>2449</v>
      </c>
      <c r="I16" s="30" t="s">
        <v>2269</v>
      </c>
      <c r="J16" s="31" t="s">
        <v>2261</v>
      </c>
      <c r="K16" s="165">
        <f t="shared" ref="K16:K17" si="0">+L16+N16+P16+R16+T16</f>
        <v>12</v>
      </c>
      <c r="L16" s="34">
        <v>0</v>
      </c>
      <c r="M16" s="32">
        <v>0</v>
      </c>
      <c r="N16" s="34">
        <v>1</v>
      </c>
      <c r="O16" s="34">
        <v>0</v>
      </c>
      <c r="P16" s="34">
        <v>5</v>
      </c>
      <c r="Q16" s="52">
        <v>0</v>
      </c>
      <c r="R16" s="52">
        <v>3</v>
      </c>
      <c r="S16" s="34">
        <v>0</v>
      </c>
      <c r="T16" s="52">
        <v>3</v>
      </c>
      <c r="U16" s="34">
        <v>0</v>
      </c>
      <c r="V16" s="59">
        <v>0</v>
      </c>
      <c r="W16" s="36">
        <f>IFERROR(O16/V16,0)</f>
        <v>0</v>
      </c>
      <c r="X16" s="48">
        <v>0</v>
      </c>
      <c r="Y16" s="48"/>
      <c r="Z16" s="48"/>
      <c r="AA16" s="48">
        <v>0</v>
      </c>
      <c r="AB16" s="48"/>
      <c r="AC16" s="48"/>
      <c r="AD16" s="48">
        <v>0</v>
      </c>
      <c r="AE16" s="48"/>
      <c r="AF16" s="48"/>
      <c r="AG16" s="48">
        <v>0</v>
      </c>
      <c r="AH16" s="48"/>
      <c r="AI16" s="48"/>
      <c r="AJ16" s="60">
        <f>AD16+AG16+AA16+X16</f>
        <v>0</v>
      </c>
      <c r="AK16" s="61">
        <f>X16/N16</f>
        <v>0</v>
      </c>
      <c r="AL16" s="62" t="s">
        <v>2579</v>
      </c>
      <c r="AM16" s="43" t="s">
        <v>2580</v>
      </c>
      <c r="AN16" s="43" t="s">
        <v>2581</v>
      </c>
      <c r="AO16" s="63">
        <v>45588</v>
      </c>
      <c r="AP16" s="63">
        <v>35885</v>
      </c>
      <c r="AQ16" s="64">
        <v>132041888832</v>
      </c>
      <c r="AR16" s="64">
        <v>68914884732</v>
      </c>
      <c r="AS16" s="63">
        <v>283499</v>
      </c>
      <c r="AT16" s="63">
        <v>71901</v>
      </c>
    </row>
    <row r="17" spans="1:46" s="47" customFormat="1" ht="12.75" customHeight="1" x14ac:dyDescent="0.2">
      <c r="A17" s="28"/>
      <c r="B17" s="29"/>
      <c r="C17" s="51"/>
      <c r="D17" s="51"/>
      <c r="E17" s="51"/>
      <c r="F17" s="30" t="s">
        <v>2359</v>
      </c>
      <c r="G17" s="30" t="s">
        <v>2360</v>
      </c>
      <c r="H17" s="30" t="s">
        <v>2349</v>
      </c>
      <c r="I17" s="30" t="s">
        <v>2269</v>
      </c>
      <c r="J17" s="31" t="s">
        <v>2261</v>
      </c>
      <c r="K17" s="165">
        <f t="shared" si="0"/>
        <v>17</v>
      </c>
      <c r="L17" s="34">
        <v>0</v>
      </c>
      <c r="M17" s="32">
        <f>AD17+AG17</f>
        <v>0</v>
      </c>
      <c r="N17" s="34">
        <v>6</v>
      </c>
      <c r="O17" s="34">
        <v>0</v>
      </c>
      <c r="P17" s="34">
        <v>6</v>
      </c>
      <c r="Q17" s="52"/>
      <c r="R17" s="52">
        <v>4</v>
      </c>
      <c r="S17" s="34">
        <v>0</v>
      </c>
      <c r="T17" s="52">
        <v>1</v>
      </c>
      <c r="U17" s="34">
        <v>0</v>
      </c>
      <c r="V17" s="59">
        <v>0</v>
      </c>
      <c r="W17" s="36">
        <f>IFERROR(O17/V17,0)</f>
        <v>0</v>
      </c>
      <c r="X17" s="48">
        <v>0</v>
      </c>
      <c r="Y17" s="48"/>
      <c r="Z17" s="48"/>
      <c r="AA17" s="48">
        <v>0</v>
      </c>
      <c r="AB17" s="48"/>
      <c r="AC17" s="48"/>
      <c r="AD17" s="48">
        <v>0</v>
      </c>
      <c r="AE17" s="48"/>
      <c r="AF17" s="48"/>
      <c r="AG17" s="48">
        <v>0</v>
      </c>
      <c r="AH17" s="48"/>
      <c r="AI17" s="48"/>
      <c r="AJ17" s="60">
        <f>AD17+AG17+AA17+X17</f>
        <v>0</v>
      </c>
      <c r="AK17" s="41">
        <f>X17/N17</f>
        <v>0</v>
      </c>
      <c r="AL17" s="62"/>
      <c r="AM17" s="43"/>
      <c r="AN17" s="43"/>
      <c r="AO17" s="63"/>
      <c r="AP17" s="63"/>
      <c r="AQ17" s="64"/>
      <c r="AR17" s="64"/>
      <c r="AS17" s="63"/>
      <c r="AT17" s="63"/>
    </row>
    <row r="18" spans="1:46" s="47" customFormat="1" ht="12.75" customHeight="1" x14ac:dyDescent="0.2">
      <c r="A18" s="28"/>
      <c r="B18" s="29"/>
      <c r="C18" s="30" t="s">
        <v>2272</v>
      </c>
      <c r="D18" s="30" t="s">
        <v>2429</v>
      </c>
      <c r="E18" s="30" t="s">
        <v>2394</v>
      </c>
      <c r="F18" s="65" t="s">
        <v>2381</v>
      </c>
      <c r="G18" s="30" t="s">
        <v>2380</v>
      </c>
      <c r="H18" s="30" t="s">
        <v>2382</v>
      </c>
      <c r="I18" s="30" t="s">
        <v>2269</v>
      </c>
      <c r="J18" s="31" t="s">
        <v>2261</v>
      </c>
      <c r="K18" s="164">
        <f>+M18+O18+P18+R18+T18</f>
        <v>360</v>
      </c>
      <c r="L18" s="52">
        <v>31.28</v>
      </c>
      <c r="M18" s="32">
        <v>14.68</v>
      </c>
      <c r="N18" s="52">
        <v>86.89</v>
      </c>
      <c r="O18" s="52">
        <v>13.52</v>
      </c>
      <c r="P18" s="52">
        <v>140.96</v>
      </c>
      <c r="Q18" s="52">
        <v>0.68</v>
      </c>
      <c r="R18" s="52">
        <v>147.18</v>
      </c>
      <c r="S18" s="34">
        <v>0</v>
      </c>
      <c r="T18" s="52">
        <v>43.66</v>
      </c>
      <c r="U18" s="34">
        <v>0</v>
      </c>
      <c r="V18" s="66">
        <f>M18+O18+S18+Q18+U18</f>
        <v>28.88</v>
      </c>
      <c r="W18" s="36">
        <f>+V18/K18</f>
        <v>8.0222222222222223E-2</v>
      </c>
      <c r="X18" s="37">
        <v>0.68</v>
      </c>
      <c r="Y18" s="37"/>
      <c r="Z18" s="37"/>
      <c r="AA18" s="48">
        <v>0</v>
      </c>
      <c r="AB18" s="48"/>
      <c r="AC18" s="48"/>
      <c r="AD18" s="48">
        <v>0</v>
      </c>
      <c r="AE18" s="48"/>
      <c r="AF18" s="48"/>
      <c r="AG18" s="48">
        <v>0</v>
      </c>
      <c r="AH18" s="48"/>
      <c r="AI18" s="48"/>
      <c r="AJ18" s="67">
        <f>+X18</f>
        <v>0.68</v>
      </c>
      <c r="AK18" s="41">
        <f>AJ18/P18</f>
        <v>4.8240635641316684E-3</v>
      </c>
      <c r="AL18" s="65" t="s">
        <v>2515</v>
      </c>
      <c r="AM18" s="31" t="s">
        <v>2465</v>
      </c>
      <c r="AN18" s="65" t="s">
        <v>2516</v>
      </c>
      <c r="AO18" s="54">
        <v>29975</v>
      </c>
      <c r="AP18" s="54">
        <v>29973</v>
      </c>
      <c r="AQ18" s="68">
        <v>50792480509</v>
      </c>
      <c r="AR18" s="68">
        <v>50446906656</v>
      </c>
      <c r="AS18" s="54">
        <v>50980</v>
      </c>
      <c r="AT18" s="54">
        <v>47060</v>
      </c>
    </row>
    <row r="19" spans="1:46" s="47" customFormat="1" ht="12.75" customHeight="1" x14ac:dyDescent="0.2">
      <c r="A19" s="28"/>
      <c r="B19" s="29"/>
      <c r="C19" s="30" t="s">
        <v>2271</v>
      </c>
      <c r="D19" s="30" t="s">
        <v>2429</v>
      </c>
      <c r="E19" s="30" t="s">
        <v>2394</v>
      </c>
      <c r="F19" s="30" t="s">
        <v>2361</v>
      </c>
      <c r="G19" s="30" t="s">
        <v>2362</v>
      </c>
      <c r="H19" s="30" t="s">
        <v>2363</v>
      </c>
      <c r="I19" s="30" t="s">
        <v>2235</v>
      </c>
      <c r="J19" s="31" t="s">
        <v>2258</v>
      </c>
      <c r="K19" s="164">
        <v>1</v>
      </c>
      <c r="L19" s="52">
        <v>0</v>
      </c>
      <c r="M19" s="32">
        <v>0</v>
      </c>
      <c r="N19" s="52">
        <v>1</v>
      </c>
      <c r="O19" s="52">
        <v>1</v>
      </c>
      <c r="P19" s="52">
        <v>1</v>
      </c>
      <c r="Q19" s="52">
        <v>0.49</v>
      </c>
      <c r="R19" s="52">
        <v>1</v>
      </c>
      <c r="S19" s="52">
        <v>0</v>
      </c>
      <c r="T19" s="52">
        <v>1</v>
      </c>
      <c r="U19" s="34">
        <v>0</v>
      </c>
      <c r="V19" s="69">
        <f>+AVERAGE(O19,Q19,S19,U19)</f>
        <v>0.3725</v>
      </c>
      <c r="W19" s="36">
        <f>+AVERAGE(O19,Q19,0,0)</f>
        <v>0.3725</v>
      </c>
      <c r="X19" s="37">
        <v>0.49</v>
      </c>
      <c r="Y19" s="37"/>
      <c r="Z19" s="37"/>
      <c r="AA19" s="48">
        <v>0</v>
      </c>
      <c r="AB19" s="48"/>
      <c r="AC19" s="48"/>
      <c r="AD19" s="48">
        <v>0</v>
      </c>
      <c r="AE19" s="48"/>
      <c r="AF19" s="48"/>
      <c r="AG19" s="48">
        <v>0</v>
      </c>
      <c r="AH19" s="48"/>
      <c r="AI19" s="48"/>
      <c r="AJ19" s="40">
        <f>MAX(X19:AI19)</f>
        <v>0.49</v>
      </c>
      <c r="AK19" s="61">
        <f>AJ19/P19</f>
        <v>0.49</v>
      </c>
      <c r="AL19" s="65" t="s">
        <v>2534</v>
      </c>
      <c r="AM19" s="31" t="s">
        <v>2535</v>
      </c>
      <c r="AN19" s="31" t="s">
        <v>2536</v>
      </c>
      <c r="AO19" s="54">
        <v>121</v>
      </c>
      <c r="AP19" s="54">
        <v>121</v>
      </c>
      <c r="AQ19" s="55">
        <v>153000000</v>
      </c>
      <c r="AR19" s="55">
        <v>153000000</v>
      </c>
      <c r="AS19" s="54">
        <v>311</v>
      </c>
      <c r="AT19" s="54">
        <v>191</v>
      </c>
    </row>
    <row r="20" spans="1:46" s="47" customFormat="1" ht="12.75" customHeight="1" x14ac:dyDescent="0.2">
      <c r="A20" s="28"/>
      <c r="B20" s="29"/>
      <c r="C20" s="51" t="s">
        <v>2395</v>
      </c>
      <c r="D20" s="51" t="s">
        <v>2429</v>
      </c>
      <c r="E20" s="51" t="s">
        <v>2394</v>
      </c>
      <c r="F20" s="51" t="s">
        <v>2323</v>
      </c>
      <c r="G20" s="30" t="s">
        <v>2322</v>
      </c>
      <c r="H20" s="51" t="s">
        <v>2343</v>
      </c>
      <c r="I20" s="30" t="s">
        <v>2235</v>
      </c>
      <c r="J20" s="31" t="s">
        <v>2261</v>
      </c>
      <c r="K20" s="165">
        <f>+L20+N20+P20+R20+T20</f>
        <v>20</v>
      </c>
      <c r="L20" s="34">
        <v>4.99</v>
      </c>
      <c r="M20" s="32">
        <v>4.99</v>
      </c>
      <c r="N20" s="34">
        <v>3.66</v>
      </c>
      <c r="O20" s="34">
        <v>3.66</v>
      </c>
      <c r="P20" s="34">
        <v>6</v>
      </c>
      <c r="Q20" s="52">
        <v>0.08</v>
      </c>
      <c r="R20" s="34">
        <v>3.34</v>
      </c>
      <c r="S20" s="34">
        <v>0</v>
      </c>
      <c r="T20" s="34">
        <v>2.0099999999999998</v>
      </c>
      <c r="U20" s="34">
        <v>0</v>
      </c>
      <c r="V20" s="35">
        <f>M20+O20+S20+Q20+U20</f>
        <v>8.73</v>
      </c>
      <c r="W20" s="36">
        <f>(V20/K20)</f>
        <v>0.4365</v>
      </c>
      <c r="X20" s="70">
        <f>Q20</f>
        <v>0.08</v>
      </c>
      <c r="Y20" s="37"/>
      <c r="Z20" s="37"/>
      <c r="AA20" s="48">
        <v>0</v>
      </c>
      <c r="AB20" s="48"/>
      <c r="AC20" s="48"/>
      <c r="AD20" s="48">
        <v>0</v>
      </c>
      <c r="AE20" s="48"/>
      <c r="AF20" s="48"/>
      <c r="AG20" s="48">
        <v>0</v>
      </c>
      <c r="AH20" s="48"/>
      <c r="AI20" s="48"/>
      <c r="AJ20" s="71">
        <f>X20</f>
        <v>0.08</v>
      </c>
      <c r="AK20" s="41">
        <f>AJ20/P20</f>
        <v>1.3333333333333334E-2</v>
      </c>
      <c r="AL20" s="42" t="s">
        <v>2566</v>
      </c>
      <c r="AM20" s="43" t="s">
        <v>2567</v>
      </c>
      <c r="AN20" s="43" t="s">
        <v>2568</v>
      </c>
      <c r="AO20" s="72">
        <v>321</v>
      </c>
      <c r="AP20" s="72">
        <v>110</v>
      </c>
      <c r="AQ20" s="73">
        <v>707861700</v>
      </c>
      <c r="AR20" s="73">
        <v>707861700</v>
      </c>
      <c r="AS20" s="72">
        <v>335</v>
      </c>
      <c r="AT20" s="72">
        <v>257</v>
      </c>
    </row>
    <row r="21" spans="1:46" s="47" customFormat="1" ht="12.75" customHeight="1" x14ac:dyDescent="0.2">
      <c r="A21" s="28"/>
      <c r="B21" s="29"/>
      <c r="C21" s="51"/>
      <c r="D21" s="51"/>
      <c r="E21" s="51"/>
      <c r="F21" s="51"/>
      <c r="G21" s="30" t="s">
        <v>2322</v>
      </c>
      <c r="H21" s="51"/>
      <c r="I21" s="30" t="s">
        <v>2269</v>
      </c>
      <c r="J21" s="31" t="s">
        <v>2261</v>
      </c>
      <c r="K21" s="165">
        <f>+L21+N21+P21+R21+T21</f>
        <v>148.47999999999999</v>
      </c>
      <c r="L21" s="34">
        <v>10.96</v>
      </c>
      <c r="M21" s="32">
        <v>0</v>
      </c>
      <c r="N21" s="34">
        <v>39.47</v>
      </c>
      <c r="O21" s="34">
        <v>11.95</v>
      </c>
      <c r="P21" s="34">
        <v>55.4</v>
      </c>
      <c r="Q21" s="52">
        <v>1.1200000000000001</v>
      </c>
      <c r="R21" s="34">
        <v>32.74</v>
      </c>
      <c r="S21" s="34">
        <v>0</v>
      </c>
      <c r="T21" s="34">
        <v>9.91</v>
      </c>
      <c r="U21" s="34">
        <v>0</v>
      </c>
      <c r="V21" s="35">
        <f>M21+O21+S21+Q21+U21</f>
        <v>13.07</v>
      </c>
      <c r="W21" s="36">
        <f>(V21/110)</f>
        <v>0.11881818181818182</v>
      </c>
      <c r="X21" s="70">
        <f>Q21</f>
        <v>1.1200000000000001</v>
      </c>
      <c r="Y21" s="37"/>
      <c r="Z21" s="37"/>
      <c r="AA21" s="48">
        <v>0</v>
      </c>
      <c r="AB21" s="48"/>
      <c r="AC21" s="48"/>
      <c r="AD21" s="48">
        <v>0</v>
      </c>
      <c r="AE21" s="48"/>
      <c r="AF21" s="48"/>
      <c r="AG21" s="48">
        <v>0</v>
      </c>
      <c r="AH21" s="48"/>
      <c r="AI21" s="48"/>
      <c r="AJ21" s="71">
        <f t="shared" ref="AJ21:AJ22" si="1">X21</f>
        <v>1.1200000000000001</v>
      </c>
      <c r="AK21" s="41">
        <f t="shared" ref="AK21:AK22" si="2">AJ21/P21</f>
        <v>2.0216606498194949E-2</v>
      </c>
      <c r="AL21" s="74"/>
      <c r="AM21" s="43"/>
      <c r="AN21" s="43"/>
      <c r="AO21" s="72">
        <v>250</v>
      </c>
      <c r="AP21" s="72">
        <v>250</v>
      </c>
      <c r="AQ21" s="73">
        <v>57935582146</v>
      </c>
      <c r="AR21" s="73">
        <v>57935582146</v>
      </c>
      <c r="AS21" s="72">
        <v>61035</v>
      </c>
      <c r="AT21" s="72">
        <v>49907</v>
      </c>
    </row>
    <row r="22" spans="1:46" s="47" customFormat="1" ht="12.75" customHeight="1" x14ac:dyDescent="0.2">
      <c r="A22" s="28"/>
      <c r="B22" s="29"/>
      <c r="C22" s="51"/>
      <c r="D22" s="51"/>
      <c r="E22" s="51"/>
      <c r="F22" s="51"/>
      <c r="G22" s="30" t="s">
        <v>2322</v>
      </c>
      <c r="H22" s="51"/>
      <c r="I22" s="30" t="s">
        <v>2270</v>
      </c>
      <c r="J22" s="31" t="s">
        <v>2261</v>
      </c>
      <c r="K22" s="165">
        <f>+L22+N22+P22+R22+T22</f>
        <v>75.239999999999995</v>
      </c>
      <c r="L22" s="34">
        <v>7</v>
      </c>
      <c r="M22" s="32">
        <v>8.73</v>
      </c>
      <c r="N22" s="34">
        <v>25.5</v>
      </c>
      <c r="O22" s="34">
        <v>27.53</v>
      </c>
      <c r="P22" s="34">
        <v>19.100000000000001</v>
      </c>
      <c r="Q22" s="52">
        <v>8.5</v>
      </c>
      <c r="R22" s="34">
        <v>16.5</v>
      </c>
      <c r="S22" s="34">
        <v>0</v>
      </c>
      <c r="T22" s="34">
        <v>7.14</v>
      </c>
      <c r="U22" s="34">
        <v>0</v>
      </c>
      <c r="V22" s="35">
        <f>M22+O22+S22+Q22+U22</f>
        <v>44.760000000000005</v>
      </c>
      <c r="W22" s="36">
        <f>(V22/K22)</f>
        <v>0.59489633173843715</v>
      </c>
      <c r="X22" s="70">
        <f>Q22</f>
        <v>8.5</v>
      </c>
      <c r="Y22" s="37"/>
      <c r="Z22" s="37"/>
      <c r="AA22" s="48">
        <v>0</v>
      </c>
      <c r="AB22" s="48"/>
      <c r="AC22" s="48"/>
      <c r="AD22" s="48">
        <v>0</v>
      </c>
      <c r="AE22" s="48"/>
      <c r="AF22" s="48"/>
      <c r="AG22" s="48">
        <v>0</v>
      </c>
      <c r="AH22" s="48"/>
      <c r="AI22" s="48"/>
      <c r="AJ22" s="71">
        <f t="shared" si="1"/>
        <v>8.5</v>
      </c>
      <c r="AK22" s="41">
        <f t="shared" si="2"/>
        <v>0.44502617801047117</v>
      </c>
      <c r="AL22" s="50"/>
      <c r="AM22" s="43"/>
      <c r="AN22" s="43"/>
      <c r="AO22" s="72">
        <v>323</v>
      </c>
      <c r="AP22" s="72">
        <v>303</v>
      </c>
      <c r="AQ22" s="73">
        <v>12570900327</v>
      </c>
      <c r="AR22" s="73">
        <v>12570900327</v>
      </c>
      <c r="AS22" s="72">
        <v>10598</v>
      </c>
      <c r="AT22" s="72">
        <v>9477</v>
      </c>
    </row>
    <row r="23" spans="1:46" s="47" customFormat="1" ht="12.75" customHeight="1" x14ac:dyDescent="0.2">
      <c r="A23" s="28"/>
      <c r="B23" s="29"/>
      <c r="C23" s="51" t="s">
        <v>2272</v>
      </c>
      <c r="D23" s="51" t="s">
        <v>2429</v>
      </c>
      <c r="E23" s="75" t="s">
        <v>2394</v>
      </c>
      <c r="F23" s="51" t="s">
        <v>2324</v>
      </c>
      <c r="G23" s="30" t="s">
        <v>2325</v>
      </c>
      <c r="H23" s="51" t="s">
        <v>2326</v>
      </c>
      <c r="I23" s="30" t="s">
        <v>2269</v>
      </c>
      <c r="J23" s="31" t="s">
        <v>2261</v>
      </c>
      <c r="K23" s="165">
        <f>+L23+N23+P23+R23+T23</f>
        <v>1445</v>
      </c>
      <c r="L23" s="34">
        <v>296.5</v>
      </c>
      <c r="M23" s="32">
        <v>11.95</v>
      </c>
      <c r="N23" s="34">
        <v>442.96</v>
      </c>
      <c r="O23" s="34">
        <v>220.51</v>
      </c>
      <c r="P23" s="34">
        <v>234.67</v>
      </c>
      <c r="Q23" s="52">
        <v>68.16</v>
      </c>
      <c r="R23" s="34">
        <v>413.09</v>
      </c>
      <c r="S23" s="34">
        <v>0</v>
      </c>
      <c r="T23" s="34">
        <v>57.78</v>
      </c>
      <c r="U23" s="34">
        <v>0</v>
      </c>
      <c r="V23" s="66">
        <f>M23+O23+S23+Q23+U23</f>
        <v>300.62</v>
      </c>
      <c r="W23" s="36">
        <f>(V23/938)</f>
        <v>0.32049040511727078</v>
      </c>
      <c r="X23" s="37">
        <v>68.16</v>
      </c>
      <c r="Y23" s="37"/>
      <c r="Z23" s="37"/>
      <c r="AA23" s="48">
        <v>0</v>
      </c>
      <c r="AB23" s="48"/>
      <c r="AC23" s="48"/>
      <c r="AD23" s="48">
        <v>0</v>
      </c>
      <c r="AE23" s="48"/>
      <c r="AF23" s="48"/>
      <c r="AG23" s="48">
        <v>0</v>
      </c>
      <c r="AH23" s="48"/>
      <c r="AI23" s="48"/>
      <c r="AJ23" s="71">
        <f>X23</f>
        <v>68.16</v>
      </c>
      <c r="AK23" s="41">
        <f>(X23)/
P23</f>
        <v>0.290450419738356</v>
      </c>
      <c r="AL23" s="76" t="s">
        <v>2569</v>
      </c>
      <c r="AM23" s="42" t="s">
        <v>2465</v>
      </c>
      <c r="AN23" s="43" t="s">
        <v>2570</v>
      </c>
      <c r="AO23" s="72">
        <v>183178</v>
      </c>
      <c r="AP23" s="72">
        <v>170460</v>
      </c>
      <c r="AQ23" s="73">
        <v>274331391632</v>
      </c>
      <c r="AR23" s="73">
        <v>262468515111</v>
      </c>
      <c r="AS23" s="72">
        <v>250540</v>
      </c>
      <c r="AT23" s="72">
        <v>143601</v>
      </c>
    </row>
    <row r="24" spans="1:46" s="47" customFormat="1" ht="12.75" customHeight="1" x14ac:dyDescent="0.2">
      <c r="A24" s="28"/>
      <c r="B24" s="29"/>
      <c r="C24" s="51"/>
      <c r="D24" s="51"/>
      <c r="E24" s="77"/>
      <c r="F24" s="51"/>
      <c r="G24" s="30" t="s">
        <v>2325</v>
      </c>
      <c r="H24" s="51"/>
      <c r="I24" s="30" t="s">
        <v>2270</v>
      </c>
      <c r="J24" s="31" t="s">
        <v>2261</v>
      </c>
      <c r="K24" s="165">
        <f>+L24+N24+P24+R24+T24</f>
        <v>1488.6999999999998</v>
      </c>
      <c r="L24" s="34">
        <v>229.55</v>
      </c>
      <c r="M24" s="32">
        <v>245.35</v>
      </c>
      <c r="N24" s="34">
        <v>437.08</v>
      </c>
      <c r="O24" s="34">
        <v>407.52</v>
      </c>
      <c r="P24" s="34">
        <v>464.62</v>
      </c>
      <c r="Q24" s="52">
        <v>202.93</v>
      </c>
      <c r="R24" s="34">
        <v>224.33</v>
      </c>
      <c r="S24" s="34">
        <v>0</v>
      </c>
      <c r="T24" s="34">
        <v>133.12</v>
      </c>
      <c r="U24" s="34">
        <v>0</v>
      </c>
      <c r="V24" s="66">
        <f>M24+O24+S24+Q24+U24</f>
        <v>855.8</v>
      </c>
      <c r="W24" s="36">
        <f>(V24/K24)</f>
        <v>0.57486397528044608</v>
      </c>
      <c r="X24" s="37">
        <v>202.93</v>
      </c>
      <c r="Y24" s="37"/>
      <c r="Z24" s="37"/>
      <c r="AA24" s="48">
        <v>0</v>
      </c>
      <c r="AB24" s="48"/>
      <c r="AC24" s="48"/>
      <c r="AD24" s="48">
        <v>0</v>
      </c>
      <c r="AE24" s="48"/>
      <c r="AF24" s="48"/>
      <c r="AG24" s="48">
        <v>0</v>
      </c>
      <c r="AH24" s="48"/>
      <c r="AI24" s="48"/>
      <c r="AJ24" s="71">
        <f>X24</f>
        <v>202.93</v>
      </c>
      <c r="AK24" s="41">
        <f>(X24)/P24</f>
        <v>0.43676552881925013</v>
      </c>
      <c r="AL24" s="78"/>
      <c r="AM24" s="50"/>
      <c r="AN24" s="43"/>
      <c r="AO24" s="72">
        <v>45604</v>
      </c>
      <c r="AP24" s="72">
        <v>39814</v>
      </c>
      <c r="AQ24" s="73">
        <v>113290768007</v>
      </c>
      <c r="AR24" s="73">
        <v>106994330826</v>
      </c>
      <c r="AS24" s="72">
        <v>122478</v>
      </c>
      <c r="AT24" s="72">
        <v>77621</v>
      </c>
    </row>
    <row r="25" spans="1:46" s="47" customFormat="1" ht="12.75" customHeight="1" x14ac:dyDescent="0.2">
      <c r="A25" s="28"/>
      <c r="B25" s="29"/>
      <c r="C25" s="30" t="s">
        <v>2272</v>
      </c>
      <c r="D25" s="30" t="s">
        <v>2429</v>
      </c>
      <c r="E25" s="30" t="s">
        <v>2394</v>
      </c>
      <c r="F25" s="30" t="s">
        <v>2378</v>
      </c>
      <c r="G25" s="30" t="s">
        <v>2377</v>
      </c>
      <c r="H25" s="30" t="s">
        <v>2379</v>
      </c>
      <c r="I25" s="30" t="s">
        <v>2235</v>
      </c>
      <c r="J25" s="31" t="s">
        <v>2258</v>
      </c>
      <c r="K25" s="166">
        <v>50</v>
      </c>
      <c r="L25" s="52">
        <v>50</v>
      </c>
      <c r="M25" s="32">
        <v>43.85</v>
      </c>
      <c r="N25" s="52">
        <v>50</v>
      </c>
      <c r="O25" s="52">
        <v>45.6</v>
      </c>
      <c r="P25" s="52">
        <v>50</v>
      </c>
      <c r="Q25" s="52">
        <v>51.8</v>
      </c>
      <c r="R25" s="52">
        <v>50</v>
      </c>
      <c r="S25" s="34">
        <v>0</v>
      </c>
      <c r="T25" s="52">
        <v>50</v>
      </c>
      <c r="U25" s="34">
        <v>0</v>
      </c>
      <c r="V25" s="79">
        <f>+AVERAGE(M25,O25,Q25)</f>
        <v>47.083333333333336</v>
      </c>
      <c r="W25" s="36">
        <f>50/V25</f>
        <v>1.0619469026548671</v>
      </c>
      <c r="X25" s="70">
        <v>51.8</v>
      </c>
      <c r="Y25" s="37"/>
      <c r="Z25" s="37"/>
      <c r="AA25" s="48">
        <v>0</v>
      </c>
      <c r="AB25" s="48"/>
      <c r="AC25" s="48"/>
      <c r="AD25" s="48">
        <v>0</v>
      </c>
      <c r="AE25" s="48"/>
      <c r="AF25" s="48"/>
      <c r="AG25" s="48">
        <v>0</v>
      </c>
      <c r="AH25" s="48"/>
      <c r="AI25" s="48"/>
      <c r="AJ25" s="71">
        <f>+X25</f>
        <v>51.8</v>
      </c>
      <c r="AK25" s="41">
        <f>+P25/AJ25</f>
        <v>0.96525096525096532</v>
      </c>
      <c r="AL25" s="65" t="s">
        <v>2517</v>
      </c>
      <c r="AM25" s="31" t="s">
        <v>2518</v>
      </c>
      <c r="AN25" s="31" t="s">
        <v>2519</v>
      </c>
      <c r="AO25" s="72">
        <v>89038</v>
      </c>
      <c r="AP25" s="72">
        <v>88330</v>
      </c>
      <c r="AQ25" s="81">
        <v>158464998049</v>
      </c>
      <c r="AR25" s="81">
        <v>156754214655</v>
      </c>
      <c r="AS25" s="72">
        <v>182024</v>
      </c>
      <c r="AT25" s="72">
        <v>95671</v>
      </c>
    </row>
    <row r="26" spans="1:46" s="47" customFormat="1" ht="12.75" customHeight="1" x14ac:dyDescent="0.2">
      <c r="A26" s="28"/>
      <c r="B26" s="29"/>
      <c r="C26" s="30" t="s">
        <v>2273</v>
      </c>
      <c r="D26" s="30" t="s">
        <v>2429</v>
      </c>
      <c r="E26" s="30" t="s">
        <v>2394</v>
      </c>
      <c r="F26" s="30" t="s">
        <v>2351</v>
      </c>
      <c r="G26" s="30" t="s">
        <v>2345</v>
      </c>
      <c r="H26" s="30" t="s">
        <v>2375</v>
      </c>
      <c r="I26" s="30" t="s">
        <v>2235</v>
      </c>
      <c r="J26" s="31" t="s">
        <v>2260</v>
      </c>
      <c r="K26" s="166">
        <v>404</v>
      </c>
      <c r="L26" s="34">
        <v>473</v>
      </c>
      <c r="M26" s="32">
        <v>371</v>
      </c>
      <c r="N26" s="34">
        <v>449</v>
      </c>
      <c r="O26" s="34">
        <v>458</v>
      </c>
      <c r="P26" s="34">
        <v>425</v>
      </c>
      <c r="Q26" s="52">
        <v>458</v>
      </c>
      <c r="R26" s="52">
        <v>405</v>
      </c>
      <c r="S26" s="34">
        <v>0</v>
      </c>
      <c r="T26" s="52">
        <v>404</v>
      </c>
      <c r="U26" s="34">
        <v>0</v>
      </c>
      <c r="V26" s="79">
        <v>404</v>
      </c>
      <c r="W26" s="36">
        <f>404/458</f>
        <v>0.88209606986899558</v>
      </c>
      <c r="X26" s="37">
        <v>458</v>
      </c>
      <c r="Y26" s="37"/>
      <c r="Z26" s="37"/>
      <c r="AA26" s="48">
        <v>0</v>
      </c>
      <c r="AB26" s="48"/>
      <c r="AC26" s="48"/>
      <c r="AD26" s="48">
        <v>0</v>
      </c>
      <c r="AE26" s="48"/>
      <c r="AF26" s="48"/>
      <c r="AG26" s="48">
        <v>0</v>
      </c>
      <c r="AH26" s="48"/>
      <c r="AI26" s="48"/>
      <c r="AJ26" s="82">
        <f>X26</f>
        <v>458</v>
      </c>
      <c r="AK26" s="41">
        <f>+P26/X26</f>
        <v>0.92794759825327511</v>
      </c>
      <c r="AL26" s="31" t="s">
        <v>2554</v>
      </c>
      <c r="AM26" s="31" t="s">
        <v>2555</v>
      </c>
      <c r="AN26" s="59" t="s">
        <v>2556</v>
      </c>
      <c r="AO26" s="44">
        <v>19877</v>
      </c>
      <c r="AP26" s="44">
        <v>15454</v>
      </c>
      <c r="AQ26" s="83">
        <v>59503141942</v>
      </c>
      <c r="AR26" s="83">
        <v>58088738158</v>
      </c>
      <c r="AS26" s="44">
        <v>85419</v>
      </c>
      <c r="AT26" s="44">
        <v>26039</v>
      </c>
    </row>
    <row r="27" spans="1:46" s="47" customFormat="1" ht="12.75" customHeight="1" x14ac:dyDescent="0.2">
      <c r="A27" s="28"/>
      <c r="B27" s="29"/>
      <c r="C27" s="30" t="s">
        <v>2273</v>
      </c>
      <c r="D27" s="30" t="s">
        <v>2429</v>
      </c>
      <c r="E27" s="30" t="s">
        <v>2394</v>
      </c>
      <c r="F27" s="30" t="s">
        <v>2489</v>
      </c>
      <c r="G27" s="30" t="s">
        <v>2345</v>
      </c>
      <c r="H27" s="30" t="s">
        <v>2479</v>
      </c>
      <c r="I27" s="30" t="s">
        <v>2235</v>
      </c>
      <c r="J27" s="31" t="s">
        <v>2260</v>
      </c>
      <c r="K27" s="166">
        <v>146</v>
      </c>
      <c r="L27" s="34">
        <v>172</v>
      </c>
      <c r="M27" s="32">
        <v>150</v>
      </c>
      <c r="N27" s="34">
        <v>163</v>
      </c>
      <c r="O27" s="34">
        <v>153</v>
      </c>
      <c r="P27" s="34">
        <v>154</v>
      </c>
      <c r="Q27" s="52">
        <v>153</v>
      </c>
      <c r="R27" s="52">
        <v>147</v>
      </c>
      <c r="S27" s="34">
        <v>0</v>
      </c>
      <c r="T27" s="52">
        <v>146</v>
      </c>
      <c r="U27" s="34">
        <v>0</v>
      </c>
      <c r="V27" s="79">
        <f>O27</f>
        <v>153</v>
      </c>
      <c r="W27" s="36">
        <f>T27/O27</f>
        <v>0.95424836601307195</v>
      </c>
      <c r="X27" s="37">
        <v>153</v>
      </c>
      <c r="Y27" s="37"/>
      <c r="Z27" s="37"/>
      <c r="AA27" s="48">
        <v>0</v>
      </c>
      <c r="AB27" s="48"/>
      <c r="AC27" s="48"/>
      <c r="AD27" s="48">
        <v>0</v>
      </c>
      <c r="AE27" s="48"/>
      <c r="AF27" s="48"/>
      <c r="AG27" s="48">
        <v>0</v>
      </c>
      <c r="AH27" s="48"/>
      <c r="AI27" s="48"/>
      <c r="AJ27" s="84">
        <f>X27</f>
        <v>153</v>
      </c>
      <c r="AK27" s="85">
        <f>P27/O27</f>
        <v>1.0065359477124183</v>
      </c>
      <c r="AL27" s="31" t="s">
        <v>2557</v>
      </c>
      <c r="AM27" s="31" t="s">
        <v>2558</v>
      </c>
      <c r="AN27" s="59" t="s">
        <v>2559</v>
      </c>
      <c r="AO27" s="44"/>
      <c r="AP27" s="44"/>
      <c r="AQ27" s="83"/>
      <c r="AR27" s="83"/>
      <c r="AS27" s="44"/>
      <c r="AT27" s="44"/>
    </row>
    <row r="28" spans="1:46" s="47" customFormat="1" ht="12.75" customHeight="1" x14ac:dyDescent="0.2">
      <c r="A28" s="28"/>
      <c r="B28" s="29"/>
      <c r="C28" s="30" t="s">
        <v>2273</v>
      </c>
      <c r="D28" s="30" t="s">
        <v>2429</v>
      </c>
      <c r="E28" s="30" t="s">
        <v>2394</v>
      </c>
      <c r="F28" s="30" t="s">
        <v>2374</v>
      </c>
      <c r="G28" s="30" t="s">
        <v>2373</v>
      </c>
      <c r="H28" s="30" t="s">
        <v>2376</v>
      </c>
      <c r="I28" s="30" t="s">
        <v>2235</v>
      </c>
      <c r="J28" s="31" t="s">
        <v>2258</v>
      </c>
      <c r="K28" s="164">
        <v>1</v>
      </c>
      <c r="L28" s="52">
        <v>1</v>
      </c>
      <c r="M28" s="32">
        <v>1</v>
      </c>
      <c r="N28" s="52">
        <v>1</v>
      </c>
      <c r="O28" s="52">
        <v>1</v>
      </c>
      <c r="P28" s="52">
        <v>1</v>
      </c>
      <c r="Q28" s="52">
        <v>0.25</v>
      </c>
      <c r="R28" s="52">
        <v>1</v>
      </c>
      <c r="S28" s="34">
        <v>0</v>
      </c>
      <c r="T28" s="52">
        <v>1</v>
      </c>
      <c r="U28" s="34">
        <v>0</v>
      </c>
      <c r="V28" s="35">
        <f>+AVERAGE(M28,O28,Q28,0,0)</f>
        <v>0.45</v>
      </c>
      <c r="W28" s="86">
        <f>+V28/K28</f>
        <v>0.45</v>
      </c>
      <c r="X28" s="37">
        <v>0.25</v>
      </c>
      <c r="Y28" s="37"/>
      <c r="Z28" s="37"/>
      <c r="AA28" s="48">
        <v>0</v>
      </c>
      <c r="AB28" s="48"/>
      <c r="AC28" s="48"/>
      <c r="AD28" s="48">
        <v>0</v>
      </c>
      <c r="AE28" s="48"/>
      <c r="AF28" s="48"/>
      <c r="AG28" s="48">
        <v>0</v>
      </c>
      <c r="AH28" s="48"/>
      <c r="AI28" s="48"/>
      <c r="AJ28" s="33">
        <f>+X28</f>
        <v>0.25</v>
      </c>
      <c r="AK28" s="61">
        <f>+AJ28/P28</f>
        <v>0.25</v>
      </c>
      <c r="AL28" s="31" t="s">
        <v>2520</v>
      </c>
      <c r="AM28" s="31" t="s">
        <v>2511</v>
      </c>
      <c r="AN28" s="31" t="s">
        <v>2521</v>
      </c>
      <c r="AO28" s="72">
        <v>823</v>
      </c>
      <c r="AP28" s="72">
        <v>823</v>
      </c>
      <c r="AQ28" s="81">
        <v>1378342278</v>
      </c>
      <c r="AR28" s="81">
        <v>1378342278</v>
      </c>
      <c r="AS28" s="72">
        <v>1995</v>
      </c>
      <c r="AT28" s="72">
        <v>613</v>
      </c>
    </row>
    <row r="29" spans="1:46" s="47" customFormat="1" ht="12.75" customHeight="1" x14ac:dyDescent="0.2">
      <c r="A29" s="28"/>
      <c r="B29" s="29"/>
      <c r="C29" s="51" t="s">
        <v>2271</v>
      </c>
      <c r="D29" s="51" t="s">
        <v>2429</v>
      </c>
      <c r="E29" s="51" t="s">
        <v>2394</v>
      </c>
      <c r="F29" s="51" t="s">
        <v>2353</v>
      </c>
      <c r="G29" s="30" t="s">
        <v>2352</v>
      </c>
      <c r="H29" s="51" t="s">
        <v>2354</v>
      </c>
      <c r="I29" s="30" t="s">
        <v>2270</v>
      </c>
      <c r="J29" s="31" t="s">
        <v>2261</v>
      </c>
      <c r="K29" s="165">
        <f>+L29+N29+P29+R29+T29</f>
        <v>0.25</v>
      </c>
      <c r="L29" s="34">
        <v>0.01</v>
      </c>
      <c r="M29" s="32">
        <v>0.01</v>
      </c>
      <c r="N29" s="34">
        <v>0.04</v>
      </c>
      <c r="O29" s="34">
        <v>0.04</v>
      </c>
      <c r="P29" s="34">
        <v>0.08</v>
      </c>
      <c r="Q29" s="52">
        <v>0.02</v>
      </c>
      <c r="R29" s="52">
        <v>0.09</v>
      </c>
      <c r="S29" s="34">
        <v>0</v>
      </c>
      <c r="T29" s="52">
        <v>0.03</v>
      </c>
      <c r="U29" s="34">
        <v>0</v>
      </c>
      <c r="V29" s="66">
        <f>M29+O29+S29+Q29+U29</f>
        <v>7.0000000000000007E-2</v>
      </c>
      <c r="W29" s="36">
        <f>(V29/K29)</f>
        <v>0.28000000000000003</v>
      </c>
      <c r="X29" s="37">
        <v>0.02</v>
      </c>
      <c r="Y29" s="37"/>
      <c r="Z29" s="37"/>
      <c r="AA29" s="48">
        <v>0</v>
      </c>
      <c r="AB29" s="48"/>
      <c r="AC29" s="48"/>
      <c r="AD29" s="48">
        <v>0</v>
      </c>
      <c r="AE29" s="48"/>
      <c r="AF29" s="48"/>
      <c r="AG29" s="48">
        <v>0</v>
      </c>
      <c r="AH29" s="48"/>
      <c r="AI29" s="48"/>
      <c r="AJ29" s="71">
        <f>X29</f>
        <v>0.02</v>
      </c>
      <c r="AK29" s="61">
        <f>AJ29/P29</f>
        <v>0.25</v>
      </c>
      <c r="AL29" s="43" t="s">
        <v>2582</v>
      </c>
      <c r="AM29" s="43" t="s">
        <v>2580</v>
      </c>
      <c r="AN29" s="43" t="s">
        <v>2583</v>
      </c>
      <c r="AO29" s="72">
        <v>19</v>
      </c>
      <c r="AP29" s="72">
        <v>19</v>
      </c>
      <c r="AQ29" s="73">
        <v>129866666</v>
      </c>
      <c r="AR29" s="73">
        <v>129098666</v>
      </c>
      <c r="AS29" s="72">
        <v>157</v>
      </c>
      <c r="AT29" s="72">
        <v>88</v>
      </c>
    </row>
    <row r="30" spans="1:46" s="47" customFormat="1" ht="12.75" customHeight="1" x14ac:dyDescent="0.2">
      <c r="A30" s="28"/>
      <c r="B30" s="29"/>
      <c r="C30" s="51"/>
      <c r="D30" s="51"/>
      <c r="E30" s="51"/>
      <c r="F30" s="51"/>
      <c r="G30" s="30" t="s">
        <v>2352</v>
      </c>
      <c r="H30" s="51"/>
      <c r="I30" s="30" t="s">
        <v>2235</v>
      </c>
      <c r="J30" s="31" t="s">
        <v>2261</v>
      </c>
      <c r="K30" s="165">
        <f>+L30+N30+P30+R30+T30</f>
        <v>0.25</v>
      </c>
      <c r="L30" s="34">
        <v>0.05</v>
      </c>
      <c r="M30" s="32">
        <v>0.05</v>
      </c>
      <c r="N30" s="34">
        <v>0.05</v>
      </c>
      <c r="O30" s="34">
        <v>0.05</v>
      </c>
      <c r="P30" s="34">
        <v>0.05</v>
      </c>
      <c r="Q30" s="52">
        <v>0.01</v>
      </c>
      <c r="R30" s="52">
        <v>0.05</v>
      </c>
      <c r="S30" s="34">
        <v>0</v>
      </c>
      <c r="T30" s="52">
        <v>0.05</v>
      </c>
      <c r="U30" s="34">
        <v>0</v>
      </c>
      <c r="V30" s="66">
        <f t="shared" ref="V30:V33" si="3">M30+O30+S30+Q30+U30</f>
        <v>0.11</v>
      </c>
      <c r="W30" s="36">
        <f t="shared" ref="W30:W33" si="4">(V30/K30)</f>
        <v>0.44</v>
      </c>
      <c r="X30" s="37">
        <v>0.01</v>
      </c>
      <c r="Y30" s="37"/>
      <c r="Z30" s="37"/>
      <c r="AA30" s="48">
        <v>0</v>
      </c>
      <c r="AB30" s="48"/>
      <c r="AC30" s="48"/>
      <c r="AD30" s="48">
        <v>0</v>
      </c>
      <c r="AE30" s="48"/>
      <c r="AF30" s="48"/>
      <c r="AG30" s="48">
        <v>0</v>
      </c>
      <c r="AH30" s="48"/>
      <c r="AI30" s="48"/>
      <c r="AJ30" s="71">
        <f>X30</f>
        <v>0.01</v>
      </c>
      <c r="AK30" s="61">
        <f>X30/P30</f>
        <v>0.19999999999999998</v>
      </c>
      <c r="AL30" s="43"/>
      <c r="AM30" s="43"/>
      <c r="AN30" s="43"/>
      <c r="AO30" s="72">
        <v>3002</v>
      </c>
      <c r="AP30" s="72">
        <v>3002</v>
      </c>
      <c r="AQ30" s="73">
        <v>5321751009</v>
      </c>
      <c r="AR30" s="73">
        <v>5308222354</v>
      </c>
      <c r="AS30" s="72">
        <v>7095</v>
      </c>
      <c r="AT30" s="72">
        <v>3099</v>
      </c>
    </row>
    <row r="31" spans="1:46" s="47" customFormat="1" ht="12.75" customHeight="1" x14ac:dyDescent="0.2">
      <c r="A31" s="28"/>
      <c r="B31" s="29"/>
      <c r="C31" s="51"/>
      <c r="D31" s="51"/>
      <c r="E31" s="51"/>
      <c r="F31" s="51"/>
      <c r="G31" s="30" t="s">
        <v>2352</v>
      </c>
      <c r="H31" s="51"/>
      <c r="I31" s="30" t="s">
        <v>2390</v>
      </c>
      <c r="J31" s="31" t="s">
        <v>2261</v>
      </c>
      <c r="K31" s="165">
        <f>+L31+N31+P31+R31+T31</f>
        <v>0.25</v>
      </c>
      <c r="L31" s="34">
        <v>0</v>
      </c>
      <c r="M31" s="32">
        <v>0</v>
      </c>
      <c r="N31" s="34">
        <v>0.01</v>
      </c>
      <c r="O31" s="34">
        <v>0</v>
      </c>
      <c r="P31" s="34">
        <v>0.08</v>
      </c>
      <c r="Q31" s="52">
        <v>0.01</v>
      </c>
      <c r="R31" s="52">
        <v>0.1</v>
      </c>
      <c r="S31" s="34">
        <v>0</v>
      </c>
      <c r="T31" s="52">
        <v>0.06</v>
      </c>
      <c r="U31" s="34">
        <v>0</v>
      </c>
      <c r="V31" s="66">
        <f t="shared" si="3"/>
        <v>0.01</v>
      </c>
      <c r="W31" s="36">
        <f>(V31/K31)</f>
        <v>0.04</v>
      </c>
      <c r="X31" s="70">
        <v>0.01</v>
      </c>
      <c r="Y31" s="70"/>
      <c r="Z31" s="70"/>
      <c r="AA31" s="48">
        <v>0</v>
      </c>
      <c r="AB31" s="48"/>
      <c r="AC31" s="48"/>
      <c r="AD31" s="48">
        <v>0</v>
      </c>
      <c r="AE31" s="48"/>
      <c r="AF31" s="48"/>
      <c r="AG31" s="48">
        <v>0</v>
      </c>
      <c r="AH31" s="48"/>
      <c r="AI31" s="48"/>
      <c r="AJ31" s="71">
        <f>X31+AD31+AA31+AG31</f>
        <v>0.01</v>
      </c>
      <c r="AK31" s="87">
        <f>AJ31/P31</f>
        <v>0.125</v>
      </c>
      <c r="AL31" s="43"/>
      <c r="AM31" s="43"/>
      <c r="AN31" s="43"/>
      <c r="AO31" s="72">
        <v>0</v>
      </c>
      <c r="AP31" s="72">
        <v>0</v>
      </c>
      <c r="AQ31" s="73">
        <v>216009400</v>
      </c>
      <c r="AR31" s="73">
        <v>202564270</v>
      </c>
      <c r="AS31" s="72">
        <v>2341</v>
      </c>
      <c r="AT31" s="72">
        <v>0</v>
      </c>
    </row>
    <row r="32" spans="1:46" s="47" customFormat="1" ht="12.75" customHeight="1" x14ac:dyDescent="0.2">
      <c r="A32" s="28"/>
      <c r="B32" s="29"/>
      <c r="C32" s="51"/>
      <c r="D32" s="51"/>
      <c r="E32" s="51"/>
      <c r="F32" s="51"/>
      <c r="G32" s="30" t="s">
        <v>2352</v>
      </c>
      <c r="H32" s="51"/>
      <c r="I32" s="30" t="s">
        <v>2269</v>
      </c>
      <c r="J32" s="31" t="s">
        <v>2261</v>
      </c>
      <c r="K32" s="165">
        <f>+L32+N32+P32+R32+T32</f>
        <v>0.25</v>
      </c>
      <c r="L32" s="34">
        <v>0.05</v>
      </c>
      <c r="M32" s="32">
        <v>0</v>
      </c>
      <c r="N32" s="34">
        <v>0</v>
      </c>
      <c r="O32" s="34">
        <v>0</v>
      </c>
      <c r="P32" s="34">
        <v>0.05</v>
      </c>
      <c r="Q32" s="52">
        <v>0</v>
      </c>
      <c r="R32" s="52">
        <v>0.05</v>
      </c>
      <c r="S32" s="34">
        <v>0</v>
      </c>
      <c r="T32" s="52">
        <v>0.1</v>
      </c>
      <c r="U32" s="34">
        <v>0</v>
      </c>
      <c r="V32" s="66">
        <f t="shared" si="3"/>
        <v>0</v>
      </c>
      <c r="W32" s="36">
        <f t="shared" si="4"/>
        <v>0</v>
      </c>
      <c r="X32" s="48">
        <v>0</v>
      </c>
      <c r="Y32" s="48"/>
      <c r="Z32" s="48"/>
      <c r="AA32" s="48">
        <v>0</v>
      </c>
      <c r="AB32" s="48"/>
      <c r="AC32" s="48"/>
      <c r="AD32" s="48">
        <v>0</v>
      </c>
      <c r="AE32" s="48"/>
      <c r="AF32" s="48"/>
      <c r="AG32" s="48">
        <v>0</v>
      </c>
      <c r="AH32" s="48"/>
      <c r="AI32" s="48"/>
      <c r="AJ32" s="49">
        <v>0</v>
      </c>
      <c r="AK32" s="49">
        <v>0</v>
      </c>
      <c r="AL32" s="43"/>
      <c r="AM32" s="43"/>
      <c r="AN32" s="43"/>
      <c r="AO32" s="72">
        <v>0</v>
      </c>
      <c r="AP32" s="72">
        <v>0</v>
      </c>
      <c r="AQ32" s="81">
        <v>0</v>
      </c>
      <c r="AR32" s="81">
        <v>0</v>
      </c>
      <c r="AS32" s="72">
        <v>0</v>
      </c>
      <c r="AT32" s="72">
        <v>0</v>
      </c>
    </row>
    <row r="33" spans="1:46" s="47" customFormat="1" ht="12.75" customHeight="1" x14ac:dyDescent="0.2">
      <c r="A33" s="28"/>
      <c r="B33" s="29"/>
      <c r="C33" s="51"/>
      <c r="D33" s="51"/>
      <c r="E33" s="51"/>
      <c r="F33" s="51"/>
      <c r="G33" s="30" t="s">
        <v>2352</v>
      </c>
      <c r="H33" s="51"/>
      <c r="I33" s="30" t="s">
        <v>2389</v>
      </c>
      <c r="J33" s="31" t="s">
        <v>2261</v>
      </c>
      <c r="K33" s="165">
        <f>+L33+N33+P33+R33+T33</f>
        <v>1</v>
      </c>
      <c r="L33" s="34">
        <v>0.05</v>
      </c>
      <c r="M33" s="32">
        <v>0.05</v>
      </c>
      <c r="N33" s="34">
        <v>0.3</v>
      </c>
      <c r="O33" s="34">
        <v>0.3</v>
      </c>
      <c r="P33" s="34">
        <v>0.3</v>
      </c>
      <c r="Q33" s="52">
        <v>0.05</v>
      </c>
      <c r="R33" s="52">
        <v>0.3</v>
      </c>
      <c r="S33" s="34">
        <v>0</v>
      </c>
      <c r="T33" s="52">
        <v>0.05</v>
      </c>
      <c r="U33" s="34">
        <v>0</v>
      </c>
      <c r="V33" s="66">
        <f t="shared" si="3"/>
        <v>0.39999999999999997</v>
      </c>
      <c r="W33" s="36">
        <f t="shared" si="4"/>
        <v>0.39999999999999997</v>
      </c>
      <c r="X33" s="37">
        <v>0.05</v>
      </c>
      <c r="Y33" s="37"/>
      <c r="Z33" s="37"/>
      <c r="AA33" s="48">
        <v>0</v>
      </c>
      <c r="AB33" s="48"/>
      <c r="AC33" s="48"/>
      <c r="AD33" s="48">
        <v>0</v>
      </c>
      <c r="AE33" s="48"/>
      <c r="AF33" s="48"/>
      <c r="AG33" s="48">
        <v>0</v>
      </c>
      <c r="AH33" s="48"/>
      <c r="AI33" s="48"/>
      <c r="AJ33" s="71">
        <f>X33</f>
        <v>0.05</v>
      </c>
      <c r="AK33" s="41">
        <f>+AJ33/N33</f>
        <v>0.16666666666666669</v>
      </c>
      <c r="AL33" s="43"/>
      <c r="AM33" s="43"/>
      <c r="AN33" s="43"/>
      <c r="AO33" s="72">
        <v>10346</v>
      </c>
      <c r="AP33" s="72">
        <v>10345</v>
      </c>
      <c r="AQ33" s="73">
        <v>26639000000</v>
      </c>
      <c r="AR33" s="73">
        <v>26629556379</v>
      </c>
      <c r="AS33" s="72">
        <v>19423</v>
      </c>
      <c r="AT33" s="72">
        <v>6514</v>
      </c>
    </row>
    <row r="34" spans="1:46" s="47" customFormat="1" ht="12.75" customHeight="1" x14ac:dyDescent="0.2">
      <c r="A34" s="28"/>
      <c r="B34" s="29"/>
      <c r="C34" s="30" t="s">
        <v>2396</v>
      </c>
      <c r="D34" s="30" t="s">
        <v>2429</v>
      </c>
      <c r="E34" s="30" t="s">
        <v>2394</v>
      </c>
      <c r="F34" s="30" t="s">
        <v>2365</v>
      </c>
      <c r="G34" s="30" t="s">
        <v>2364</v>
      </c>
      <c r="H34" s="30" t="s">
        <v>2366</v>
      </c>
      <c r="I34" s="30" t="s">
        <v>2235</v>
      </c>
      <c r="J34" s="31" t="s">
        <v>2258</v>
      </c>
      <c r="K34" s="166">
        <v>1</v>
      </c>
      <c r="L34" s="52">
        <v>0</v>
      </c>
      <c r="M34" s="32">
        <v>0</v>
      </c>
      <c r="N34" s="52">
        <v>1</v>
      </c>
      <c r="O34" s="52">
        <v>1</v>
      </c>
      <c r="P34" s="52">
        <v>1</v>
      </c>
      <c r="Q34" s="52">
        <v>0.49</v>
      </c>
      <c r="R34" s="52">
        <v>1</v>
      </c>
      <c r="S34" s="34">
        <v>0</v>
      </c>
      <c r="T34" s="52">
        <v>1</v>
      </c>
      <c r="U34" s="52">
        <v>0</v>
      </c>
      <c r="V34" s="69">
        <f>+AVERAGE(O34,Q34,S34,U34)</f>
        <v>0.3725</v>
      </c>
      <c r="W34" s="36">
        <f>+AVERAGE(O34,Q34,0,0)</f>
        <v>0.3725</v>
      </c>
      <c r="X34" s="37">
        <v>0.49</v>
      </c>
      <c r="Y34" s="37"/>
      <c r="Z34" s="37"/>
      <c r="AA34" s="48">
        <v>0</v>
      </c>
      <c r="AB34" s="48"/>
      <c r="AC34" s="48"/>
      <c r="AD34" s="48">
        <v>0</v>
      </c>
      <c r="AE34" s="48"/>
      <c r="AF34" s="48"/>
      <c r="AG34" s="48">
        <v>0</v>
      </c>
      <c r="AH34" s="48"/>
      <c r="AI34" s="48"/>
      <c r="AJ34" s="71">
        <f>+X34</f>
        <v>0.49</v>
      </c>
      <c r="AK34" s="41">
        <f>+AJ34/P34</f>
        <v>0.49</v>
      </c>
      <c r="AL34" s="31" t="s">
        <v>2531</v>
      </c>
      <c r="AM34" s="31" t="s">
        <v>2532</v>
      </c>
      <c r="AN34" s="31" t="s">
        <v>2533</v>
      </c>
      <c r="AO34" s="72">
        <v>0</v>
      </c>
      <c r="AP34" s="72">
        <v>0</v>
      </c>
      <c r="AQ34" s="81">
        <v>317390184</v>
      </c>
      <c r="AR34" s="81">
        <v>317390184</v>
      </c>
      <c r="AS34" s="72">
        <v>233</v>
      </c>
      <c r="AT34" s="72">
        <v>167</v>
      </c>
    </row>
    <row r="35" spans="1:46" s="47" customFormat="1" ht="12.75" customHeight="1" x14ac:dyDescent="0.2">
      <c r="A35" s="28"/>
      <c r="B35" s="29"/>
      <c r="C35" s="30" t="s">
        <v>2271</v>
      </c>
      <c r="D35" s="30" t="s">
        <v>2429</v>
      </c>
      <c r="E35" s="30" t="s">
        <v>2394</v>
      </c>
      <c r="F35" s="30" t="s">
        <v>2368</v>
      </c>
      <c r="G35" s="30" t="s">
        <v>2367</v>
      </c>
      <c r="H35" s="30" t="s">
        <v>2369</v>
      </c>
      <c r="I35" s="30" t="s">
        <v>2236</v>
      </c>
      <c r="J35" s="31" t="s">
        <v>2260</v>
      </c>
      <c r="K35" s="166">
        <v>21.21</v>
      </c>
      <c r="L35" s="32">
        <v>23.56</v>
      </c>
      <c r="M35" s="32">
        <v>23.56</v>
      </c>
      <c r="N35" s="52">
        <v>23.55</v>
      </c>
      <c r="O35" s="52">
        <v>23.55</v>
      </c>
      <c r="P35" s="52">
        <v>23.54</v>
      </c>
      <c r="Q35" s="52">
        <v>23.55</v>
      </c>
      <c r="R35" s="52">
        <v>23.53</v>
      </c>
      <c r="S35" s="34">
        <v>0</v>
      </c>
      <c r="T35" s="52">
        <v>21.21</v>
      </c>
      <c r="U35" s="34">
        <v>0</v>
      </c>
      <c r="V35" s="79">
        <f>+Q35</f>
        <v>23.55</v>
      </c>
      <c r="W35" s="36">
        <f>+K35/Q35</f>
        <v>0.90063694267515926</v>
      </c>
      <c r="X35" s="37">
        <v>23.55</v>
      </c>
      <c r="Y35" s="37"/>
      <c r="Z35" s="37"/>
      <c r="AA35" s="48">
        <v>0</v>
      </c>
      <c r="AB35" s="48"/>
      <c r="AC35" s="48"/>
      <c r="AD35" s="48">
        <v>0</v>
      </c>
      <c r="AE35" s="48"/>
      <c r="AF35" s="48"/>
      <c r="AG35" s="48">
        <v>0</v>
      </c>
      <c r="AH35" s="48"/>
      <c r="AI35" s="48"/>
      <c r="AJ35" s="71">
        <f>+X35</f>
        <v>23.55</v>
      </c>
      <c r="AK35" s="41">
        <f>+P35/AJ35</f>
        <v>0.99957537154989373</v>
      </c>
      <c r="AL35" s="31" t="s">
        <v>2528</v>
      </c>
      <c r="AM35" s="31" t="s">
        <v>2529</v>
      </c>
      <c r="AN35" s="31" t="s">
        <v>2530</v>
      </c>
      <c r="AO35" s="72">
        <v>1437</v>
      </c>
      <c r="AP35" s="72">
        <v>1321</v>
      </c>
      <c r="AQ35" s="81">
        <v>2758275200</v>
      </c>
      <c r="AR35" s="81">
        <v>2700192005</v>
      </c>
      <c r="AS35" s="72">
        <v>2835</v>
      </c>
      <c r="AT35" s="72">
        <v>2362</v>
      </c>
    </row>
    <row r="36" spans="1:46" s="47" customFormat="1" ht="12.75" customHeight="1" x14ac:dyDescent="0.2">
      <c r="A36" s="28"/>
      <c r="B36" s="29"/>
      <c r="C36" s="51" t="s">
        <v>2271</v>
      </c>
      <c r="D36" s="51" t="s">
        <v>2429</v>
      </c>
      <c r="E36" s="51" t="s">
        <v>2394</v>
      </c>
      <c r="F36" s="30" t="s">
        <v>2445</v>
      </c>
      <c r="G36" s="30" t="s">
        <v>2321</v>
      </c>
      <c r="H36" s="30" t="s">
        <v>2446</v>
      </c>
      <c r="I36" s="30" t="s">
        <v>2235</v>
      </c>
      <c r="J36" s="31" t="s">
        <v>2261</v>
      </c>
      <c r="K36" s="167">
        <v>100</v>
      </c>
      <c r="L36" s="32">
        <v>5</v>
      </c>
      <c r="M36" s="32">
        <v>5</v>
      </c>
      <c r="N36" s="34">
        <v>30</v>
      </c>
      <c r="O36" s="34">
        <v>30</v>
      </c>
      <c r="P36" s="34">
        <v>30</v>
      </c>
      <c r="Q36" s="52">
        <v>16.55</v>
      </c>
      <c r="R36" s="52">
        <v>30</v>
      </c>
      <c r="S36" s="34">
        <v>0</v>
      </c>
      <c r="T36" s="52">
        <v>5</v>
      </c>
      <c r="U36" s="34">
        <v>0</v>
      </c>
      <c r="V36" s="79">
        <f>M36+O36+Q36</f>
        <v>51.55</v>
      </c>
      <c r="W36" s="88">
        <f>+V36/K36</f>
        <v>0.51549999999999996</v>
      </c>
      <c r="X36" s="37">
        <v>15.75</v>
      </c>
      <c r="Y36" s="37"/>
      <c r="Z36" s="37"/>
      <c r="AA36" s="48">
        <v>0</v>
      </c>
      <c r="AB36" s="48"/>
      <c r="AC36" s="48"/>
      <c r="AD36" s="48">
        <v>0</v>
      </c>
      <c r="AE36" s="48"/>
      <c r="AF36" s="48"/>
      <c r="AG36" s="48">
        <v>0</v>
      </c>
      <c r="AH36" s="48"/>
      <c r="AI36" s="48"/>
      <c r="AJ36" s="71">
        <f>MAX(X36:AI36)</f>
        <v>15.75</v>
      </c>
      <c r="AK36" s="41">
        <f>AJ36/N36</f>
        <v>0.52500000000000002</v>
      </c>
      <c r="AL36" s="42" t="s">
        <v>2591</v>
      </c>
      <c r="AM36" s="43" t="s">
        <v>2511</v>
      </c>
      <c r="AN36" s="43" t="s">
        <v>2592</v>
      </c>
      <c r="AO36" s="72">
        <v>282</v>
      </c>
      <c r="AP36" s="72">
        <v>282</v>
      </c>
      <c r="AQ36" s="73">
        <v>1201581805</v>
      </c>
      <c r="AR36" s="73">
        <v>1201581805</v>
      </c>
      <c r="AS36" s="72">
        <v>1210</v>
      </c>
      <c r="AT36" s="72">
        <v>1047</v>
      </c>
    </row>
    <row r="37" spans="1:46" s="47" customFormat="1" ht="12.75" customHeight="1" x14ac:dyDescent="0.2">
      <c r="A37" s="28"/>
      <c r="B37" s="29"/>
      <c r="C37" s="51"/>
      <c r="D37" s="51"/>
      <c r="E37" s="51"/>
      <c r="F37" s="30" t="s">
        <v>2320</v>
      </c>
      <c r="G37" s="30" t="s">
        <v>2321</v>
      </c>
      <c r="H37" s="30" t="s">
        <v>2355</v>
      </c>
      <c r="I37" s="30" t="s">
        <v>2236</v>
      </c>
      <c r="J37" s="31" t="s">
        <v>2259</v>
      </c>
      <c r="K37" s="167">
        <v>82.5</v>
      </c>
      <c r="L37" s="34">
        <v>79</v>
      </c>
      <c r="M37" s="32">
        <v>78.959999999999994</v>
      </c>
      <c r="N37" s="34">
        <v>79.3</v>
      </c>
      <c r="O37" s="34">
        <v>88.05</v>
      </c>
      <c r="P37" s="34">
        <v>79.5</v>
      </c>
      <c r="Q37" s="52">
        <v>88.83</v>
      </c>
      <c r="R37" s="52">
        <v>80.5</v>
      </c>
      <c r="S37" s="34">
        <v>0</v>
      </c>
      <c r="T37" s="52">
        <v>82.5</v>
      </c>
      <c r="U37" s="34">
        <v>0</v>
      </c>
      <c r="V37" s="79">
        <f>Q37</f>
        <v>88.83</v>
      </c>
      <c r="W37" s="36">
        <f>(Q37)/T37</f>
        <v>1.0767272727272728</v>
      </c>
      <c r="X37" s="37">
        <v>88.83</v>
      </c>
      <c r="Y37" s="37"/>
      <c r="Z37" s="37"/>
      <c r="AA37" s="48">
        <v>0</v>
      </c>
      <c r="AB37" s="48"/>
      <c r="AC37" s="48"/>
      <c r="AD37" s="48">
        <v>0</v>
      </c>
      <c r="AE37" s="48"/>
      <c r="AF37" s="48"/>
      <c r="AG37" s="48">
        <v>0</v>
      </c>
      <c r="AH37" s="48"/>
      <c r="AI37" s="48"/>
      <c r="AJ37" s="71">
        <f>X37</f>
        <v>88.83</v>
      </c>
      <c r="AK37" s="41">
        <f>AJ37/P37</f>
        <v>1.1173584905660376</v>
      </c>
      <c r="AL37" s="50"/>
      <c r="AM37" s="43"/>
      <c r="AN37" s="43"/>
      <c r="AO37" s="72">
        <v>8998</v>
      </c>
      <c r="AP37" s="72">
        <v>8336</v>
      </c>
      <c r="AQ37" s="73">
        <v>16864096176</v>
      </c>
      <c r="AR37" s="73">
        <v>16757675899</v>
      </c>
      <c r="AS37" s="72">
        <v>14743</v>
      </c>
      <c r="AT37" s="72">
        <v>5616</v>
      </c>
    </row>
    <row r="38" spans="1:46" s="47" customFormat="1" ht="12.75" customHeight="1" x14ac:dyDescent="0.2">
      <c r="A38" s="28"/>
      <c r="B38" s="29"/>
      <c r="C38" s="30" t="s">
        <v>2271</v>
      </c>
      <c r="D38" s="30" t="s">
        <v>2429</v>
      </c>
      <c r="E38" s="30" t="s">
        <v>2394</v>
      </c>
      <c r="F38" s="30" t="s">
        <v>2387</v>
      </c>
      <c r="G38" s="30" t="s">
        <v>2386</v>
      </c>
      <c r="H38" s="30" t="s">
        <v>2388</v>
      </c>
      <c r="I38" s="30" t="s">
        <v>2236</v>
      </c>
      <c r="J38" s="31" t="s">
        <v>2260</v>
      </c>
      <c r="K38" s="167">
        <v>2</v>
      </c>
      <c r="L38" s="34">
        <v>15.35</v>
      </c>
      <c r="M38" s="32">
        <v>15.36</v>
      </c>
      <c r="N38" s="34">
        <v>15.34</v>
      </c>
      <c r="O38" s="32">
        <v>9.9700000000000006</v>
      </c>
      <c r="P38" s="34">
        <v>15.33</v>
      </c>
      <c r="Q38" s="34">
        <v>9.9700000000000006</v>
      </c>
      <c r="R38" s="34">
        <v>15.32</v>
      </c>
      <c r="S38" s="34">
        <v>0</v>
      </c>
      <c r="T38" s="34">
        <v>13.36</v>
      </c>
      <c r="U38" s="34">
        <v>0</v>
      </c>
      <c r="V38" s="89">
        <f>+Q38</f>
        <v>9.9700000000000006</v>
      </c>
      <c r="W38" s="36">
        <f>13.36/Q38</f>
        <v>1.3400200601805414</v>
      </c>
      <c r="X38" s="80">
        <v>9.9700000000000006</v>
      </c>
      <c r="Y38" s="80"/>
      <c r="Z38" s="80"/>
      <c r="AA38" s="48">
        <v>0</v>
      </c>
      <c r="AB38" s="48"/>
      <c r="AC38" s="48"/>
      <c r="AD38" s="48">
        <v>0</v>
      </c>
      <c r="AE38" s="48"/>
      <c r="AF38" s="48"/>
      <c r="AG38" s="48">
        <v>0</v>
      </c>
      <c r="AH38" s="48"/>
      <c r="AI38" s="48"/>
      <c r="AJ38" s="71">
        <f>+X38</f>
        <v>9.9700000000000006</v>
      </c>
      <c r="AK38" s="41">
        <f>+P38/AJ38</f>
        <v>1.5376128385155465</v>
      </c>
      <c r="AL38" s="31" t="s">
        <v>2510</v>
      </c>
      <c r="AM38" s="31" t="s">
        <v>2511</v>
      </c>
      <c r="AN38" s="31" t="s">
        <v>2512</v>
      </c>
      <c r="AO38" s="72">
        <v>9219</v>
      </c>
      <c r="AP38" s="72">
        <v>9219</v>
      </c>
      <c r="AQ38" s="81">
        <v>14049436000</v>
      </c>
      <c r="AR38" s="81">
        <v>14046951937</v>
      </c>
      <c r="AS38" s="72">
        <v>6298</v>
      </c>
      <c r="AT38" s="72">
        <v>1963</v>
      </c>
    </row>
    <row r="39" spans="1:46" s="47" customFormat="1" ht="12.75" customHeight="1" x14ac:dyDescent="0.2">
      <c r="A39" s="28"/>
      <c r="B39" s="29"/>
      <c r="C39" s="51" t="s">
        <v>2271</v>
      </c>
      <c r="D39" s="51" t="s">
        <v>2429</v>
      </c>
      <c r="E39" s="51" t="s">
        <v>2394</v>
      </c>
      <c r="F39" s="65" t="s">
        <v>2443</v>
      </c>
      <c r="G39" s="30" t="s">
        <v>2317</v>
      </c>
      <c r="H39" s="30" t="s">
        <v>2444</v>
      </c>
      <c r="I39" s="30" t="s">
        <v>2235</v>
      </c>
      <c r="J39" s="31" t="s">
        <v>2261</v>
      </c>
      <c r="K39" s="167">
        <v>100</v>
      </c>
      <c r="L39" s="34">
        <v>5</v>
      </c>
      <c r="M39" s="32">
        <v>5</v>
      </c>
      <c r="N39" s="34">
        <v>30</v>
      </c>
      <c r="O39" s="34">
        <v>30</v>
      </c>
      <c r="P39" s="34">
        <v>30</v>
      </c>
      <c r="Q39" s="34">
        <v>7.75</v>
      </c>
      <c r="R39" s="34">
        <v>30</v>
      </c>
      <c r="S39" s="34">
        <v>0</v>
      </c>
      <c r="T39" s="34">
        <v>5</v>
      </c>
      <c r="U39" s="34">
        <v>0</v>
      </c>
      <c r="V39" s="89">
        <f>+M39+O39+Q39</f>
        <v>42.75</v>
      </c>
      <c r="W39" s="36">
        <f>+V39/K39</f>
        <v>0.42749999999999999</v>
      </c>
      <c r="X39" s="90">
        <v>7.75</v>
      </c>
      <c r="Y39" s="90"/>
      <c r="Z39" s="90"/>
      <c r="AA39" s="48">
        <v>0</v>
      </c>
      <c r="AB39" s="48"/>
      <c r="AC39" s="48"/>
      <c r="AD39" s="48">
        <v>0</v>
      </c>
      <c r="AE39" s="48"/>
      <c r="AF39" s="48"/>
      <c r="AG39" s="48">
        <v>0</v>
      </c>
      <c r="AH39" s="48"/>
      <c r="AI39" s="48"/>
      <c r="AJ39" s="91">
        <f>MAX(X39:AI39)</f>
        <v>7.75</v>
      </c>
      <c r="AK39" s="41">
        <f>+AJ39/N39</f>
        <v>0.25833333333333336</v>
      </c>
      <c r="AL39" s="53" t="s">
        <v>2560</v>
      </c>
      <c r="AM39" s="43" t="s">
        <v>2561</v>
      </c>
      <c r="AN39" s="43" t="s">
        <v>2562</v>
      </c>
      <c r="AO39" s="72">
        <v>68</v>
      </c>
      <c r="AP39" s="72">
        <v>68</v>
      </c>
      <c r="AQ39" s="73">
        <v>3639934366</v>
      </c>
      <c r="AR39" s="73">
        <v>3630067523</v>
      </c>
      <c r="AS39" s="72">
        <v>2075</v>
      </c>
      <c r="AT39" s="72">
        <v>1175</v>
      </c>
    </row>
    <row r="40" spans="1:46" s="47" customFormat="1" ht="12.75" customHeight="1" x14ac:dyDescent="0.2">
      <c r="A40" s="28"/>
      <c r="B40" s="29"/>
      <c r="C40" s="51"/>
      <c r="D40" s="51"/>
      <c r="E40" s="51"/>
      <c r="F40" s="30" t="s">
        <v>2319</v>
      </c>
      <c r="G40" s="30" t="s">
        <v>2317</v>
      </c>
      <c r="H40" s="30" t="s">
        <v>2318</v>
      </c>
      <c r="I40" s="30" t="s">
        <v>2236</v>
      </c>
      <c r="J40" s="31" t="s">
        <v>2259</v>
      </c>
      <c r="K40" s="167">
        <v>166954</v>
      </c>
      <c r="L40" s="34">
        <v>66781</v>
      </c>
      <c r="M40" s="92">
        <v>45078</v>
      </c>
      <c r="N40" s="34">
        <v>127700</v>
      </c>
      <c r="O40" s="34">
        <v>130485</v>
      </c>
      <c r="P40" s="34">
        <v>166954</v>
      </c>
      <c r="Q40" s="34">
        <v>148614</v>
      </c>
      <c r="R40" s="34">
        <v>166954</v>
      </c>
      <c r="S40" s="34">
        <v>0</v>
      </c>
      <c r="T40" s="34">
        <v>166954</v>
      </c>
      <c r="U40" s="34">
        <v>0</v>
      </c>
      <c r="V40" s="89">
        <f>+Q40</f>
        <v>148614</v>
      </c>
      <c r="W40" s="36">
        <f>+V40/K40</f>
        <v>0.89014938246463093</v>
      </c>
      <c r="X40" s="90">
        <v>148614</v>
      </c>
      <c r="Y40" s="90"/>
      <c r="Z40" s="90"/>
      <c r="AA40" s="48">
        <v>0</v>
      </c>
      <c r="AB40" s="48"/>
      <c r="AC40" s="48"/>
      <c r="AD40" s="48">
        <v>0</v>
      </c>
      <c r="AE40" s="48"/>
      <c r="AF40" s="48"/>
      <c r="AG40" s="48">
        <v>0</v>
      </c>
      <c r="AH40" s="48"/>
      <c r="AI40" s="48"/>
      <c r="AJ40" s="93">
        <f>MAX(X40:AI40)</f>
        <v>148614</v>
      </c>
      <c r="AK40" s="41">
        <f>+AJ40/P40</f>
        <v>0.89014938246463093</v>
      </c>
      <c r="AL40" s="56"/>
      <c r="AM40" s="43"/>
      <c r="AN40" s="43"/>
      <c r="AO40" s="72">
        <v>1030671</v>
      </c>
      <c r="AP40" s="72">
        <v>1026879</v>
      </c>
      <c r="AQ40" s="73">
        <v>2922611642847</v>
      </c>
      <c r="AR40" s="73">
        <v>2728214536872</v>
      </c>
      <c r="AS40" s="72">
        <v>2215112</v>
      </c>
      <c r="AT40" s="72">
        <v>973437</v>
      </c>
    </row>
    <row r="41" spans="1:46" s="47" customFormat="1" ht="12.75" customHeight="1" x14ac:dyDescent="0.2">
      <c r="A41" s="28"/>
      <c r="B41" s="29"/>
      <c r="C41" s="51" t="s">
        <v>2272</v>
      </c>
      <c r="D41" s="51" t="s">
        <v>2429</v>
      </c>
      <c r="E41" s="51" t="s">
        <v>2394</v>
      </c>
      <c r="F41" s="30" t="s">
        <v>2447</v>
      </c>
      <c r="G41" s="30" t="s">
        <v>2347</v>
      </c>
      <c r="H41" s="30" t="s">
        <v>2448</v>
      </c>
      <c r="I41" s="30" t="s">
        <v>2269</v>
      </c>
      <c r="J41" s="31" t="s">
        <v>2259</v>
      </c>
      <c r="K41" s="165">
        <f>+T41</f>
        <v>60</v>
      </c>
      <c r="L41" s="34">
        <v>0</v>
      </c>
      <c r="M41" s="32">
        <v>0</v>
      </c>
      <c r="N41" s="34">
        <v>0</v>
      </c>
      <c r="O41" s="34">
        <v>0</v>
      </c>
      <c r="P41" s="34">
        <v>30</v>
      </c>
      <c r="Q41" s="34"/>
      <c r="R41" s="34">
        <v>50</v>
      </c>
      <c r="S41" s="34">
        <v>0</v>
      </c>
      <c r="T41" s="34">
        <v>60</v>
      </c>
      <c r="U41" s="34">
        <v>0</v>
      </c>
      <c r="V41" s="89">
        <v>0</v>
      </c>
      <c r="W41" s="86">
        <v>0</v>
      </c>
      <c r="X41" s="48">
        <v>0</v>
      </c>
      <c r="Y41" s="48"/>
      <c r="Z41" s="48"/>
      <c r="AA41" s="48">
        <v>0</v>
      </c>
      <c r="AB41" s="48"/>
      <c r="AC41" s="48"/>
      <c r="AD41" s="48">
        <v>0</v>
      </c>
      <c r="AE41" s="48"/>
      <c r="AF41" s="48"/>
      <c r="AG41" s="48">
        <v>0</v>
      </c>
      <c r="AH41" s="48"/>
      <c r="AI41" s="48"/>
      <c r="AJ41" s="49">
        <v>0</v>
      </c>
      <c r="AK41" s="49">
        <v>0</v>
      </c>
      <c r="AL41" s="43" t="s">
        <v>2563</v>
      </c>
      <c r="AM41" s="43" t="s">
        <v>2564</v>
      </c>
      <c r="AN41" s="43" t="s">
        <v>2565</v>
      </c>
      <c r="AO41" s="44">
        <v>9295</v>
      </c>
      <c r="AP41" s="44">
        <v>8898</v>
      </c>
      <c r="AQ41" s="83">
        <v>3066203769</v>
      </c>
      <c r="AR41" s="83">
        <v>3066203769</v>
      </c>
      <c r="AS41" s="44">
        <v>100993</v>
      </c>
      <c r="AT41" s="44">
        <v>84</v>
      </c>
    </row>
    <row r="42" spans="1:46" s="47" customFormat="1" ht="12.75" customHeight="1" x14ac:dyDescent="0.2">
      <c r="A42" s="28"/>
      <c r="B42" s="29"/>
      <c r="C42" s="51"/>
      <c r="D42" s="51"/>
      <c r="E42" s="51"/>
      <c r="F42" s="30" t="s">
        <v>2346</v>
      </c>
      <c r="G42" s="30" t="s">
        <v>2347</v>
      </c>
      <c r="H42" s="30" t="s">
        <v>2348</v>
      </c>
      <c r="I42" s="30" t="s">
        <v>2417</v>
      </c>
      <c r="J42" s="31" t="s">
        <v>2261</v>
      </c>
      <c r="K42" s="165">
        <f>+L42+N42+P42+R42+T42</f>
        <v>2</v>
      </c>
      <c r="L42" s="34">
        <v>0</v>
      </c>
      <c r="M42" s="32">
        <f t="shared" ref="M42" si="5">AD42+AG42</f>
        <v>0</v>
      </c>
      <c r="N42" s="34">
        <v>2</v>
      </c>
      <c r="O42" s="34">
        <v>0</v>
      </c>
      <c r="P42" s="34">
        <v>0</v>
      </c>
      <c r="Q42" s="34"/>
      <c r="R42" s="34">
        <v>0</v>
      </c>
      <c r="S42" s="34">
        <v>0</v>
      </c>
      <c r="T42" s="34">
        <v>0</v>
      </c>
      <c r="U42" s="34">
        <v>0</v>
      </c>
      <c r="V42" s="59">
        <v>0</v>
      </c>
      <c r="W42" s="36">
        <f>IFERROR(O42/V42,0)</f>
        <v>0</v>
      </c>
      <c r="X42" s="48">
        <v>0</v>
      </c>
      <c r="Y42" s="48"/>
      <c r="Z42" s="48"/>
      <c r="AA42" s="48">
        <v>0</v>
      </c>
      <c r="AB42" s="48"/>
      <c r="AC42" s="48"/>
      <c r="AD42" s="48">
        <v>0</v>
      </c>
      <c r="AE42" s="48"/>
      <c r="AF42" s="48"/>
      <c r="AG42" s="48">
        <v>0</v>
      </c>
      <c r="AH42" s="48"/>
      <c r="AI42" s="48"/>
      <c r="AJ42" s="49">
        <v>0</v>
      </c>
      <c r="AK42" s="49">
        <v>0</v>
      </c>
      <c r="AL42" s="43"/>
      <c r="AM42" s="43"/>
      <c r="AN42" s="43"/>
      <c r="AO42" s="44"/>
      <c r="AP42" s="44"/>
      <c r="AQ42" s="83"/>
      <c r="AR42" s="83"/>
      <c r="AS42" s="44"/>
      <c r="AT42" s="44"/>
    </row>
    <row r="43" spans="1:46" s="47" customFormat="1" ht="12.75" customHeight="1" x14ac:dyDescent="0.2">
      <c r="A43" s="28"/>
      <c r="B43" s="29"/>
      <c r="C43" s="30" t="s">
        <v>2412</v>
      </c>
      <c r="D43" s="30" t="s">
        <v>2429</v>
      </c>
      <c r="E43" s="30" t="s">
        <v>2413</v>
      </c>
      <c r="F43" s="30" t="s">
        <v>2416</v>
      </c>
      <c r="G43" s="30" t="s">
        <v>2414</v>
      </c>
      <c r="H43" s="30" t="s">
        <v>2415</v>
      </c>
      <c r="I43" s="30" t="s">
        <v>2235</v>
      </c>
      <c r="J43" s="31" t="s">
        <v>2261</v>
      </c>
      <c r="K43" s="165">
        <f>+L43+N43+P43+R43+T43</f>
        <v>364000</v>
      </c>
      <c r="L43" s="34">
        <v>2900</v>
      </c>
      <c r="M43" s="32">
        <v>2935</v>
      </c>
      <c r="N43" s="34">
        <v>67132</v>
      </c>
      <c r="O43" s="34">
        <v>67132</v>
      </c>
      <c r="P43" s="34">
        <v>110113</v>
      </c>
      <c r="Q43" s="34">
        <v>44807</v>
      </c>
      <c r="R43" s="34">
        <v>116300</v>
      </c>
      <c r="S43" s="34">
        <v>0</v>
      </c>
      <c r="T43" s="34">
        <v>67555</v>
      </c>
      <c r="U43" s="34">
        <v>0</v>
      </c>
      <c r="V43" s="89">
        <f>+M43+O43+Q43</f>
        <v>114874</v>
      </c>
      <c r="W43" s="36">
        <f t="shared" ref="W43:W61" si="6">+V43/K43</f>
        <v>0.31558791208791209</v>
      </c>
      <c r="X43" s="90">
        <v>44807</v>
      </c>
      <c r="Y43" s="90"/>
      <c r="Z43" s="90"/>
      <c r="AA43" s="48">
        <v>0</v>
      </c>
      <c r="AB43" s="48"/>
      <c r="AC43" s="48"/>
      <c r="AD43" s="48">
        <v>0</v>
      </c>
      <c r="AE43" s="48"/>
      <c r="AF43" s="48"/>
      <c r="AG43" s="48">
        <v>0</v>
      </c>
      <c r="AH43" s="48"/>
      <c r="AI43" s="48"/>
      <c r="AJ43" s="71">
        <f>MAX(X43:AI43)</f>
        <v>44807</v>
      </c>
      <c r="AK43" s="41">
        <f>+AJ43/P43</f>
        <v>0.40691834751573386</v>
      </c>
      <c r="AL43" s="31" t="s">
        <v>2571</v>
      </c>
      <c r="AM43" s="31" t="s">
        <v>2572</v>
      </c>
      <c r="AN43" s="31" t="s">
        <v>2573</v>
      </c>
      <c r="AO43" s="72">
        <v>631</v>
      </c>
      <c r="AP43" s="72">
        <v>298</v>
      </c>
      <c r="AQ43" s="73">
        <v>13089983885</v>
      </c>
      <c r="AR43" s="73">
        <v>13084853885</v>
      </c>
      <c r="AS43" s="72">
        <v>6293</v>
      </c>
      <c r="AT43" s="72">
        <v>1844</v>
      </c>
    </row>
    <row r="44" spans="1:46" s="47" customFormat="1" ht="12.75" customHeight="1" x14ac:dyDescent="0.2">
      <c r="A44" s="28"/>
      <c r="B44" s="29"/>
      <c r="C44" s="51" t="s">
        <v>2396</v>
      </c>
      <c r="D44" s="51" t="s">
        <v>2429</v>
      </c>
      <c r="E44" s="51" t="s">
        <v>2394</v>
      </c>
      <c r="F44" s="30" t="s">
        <v>2338</v>
      </c>
      <c r="G44" s="30" t="s">
        <v>2339</v>
      </c>
      <c r="H44" s="30" t="s">
        <v>2340</v>
      </c>
      <c r="I44" s="30" t="s">
        <v>2269</v>
      </c>
      <c r="J44" s="31" t="s">
        <v>2261</v>
      </c>
      <c r="K44" s="165">
        <f>+L44+N44+P44+R44+T44</f>
        <v>20.009999999999998</v>
      </c>
      <c r="L44" s="34">
        <v>0</v>
      </c>
      <c r="M44" s="32">
        <f t="shared" ref="M44:M62" si="7">AD44+AG44</f>
        <v>0</v>
      </c>
      <c r="N44" s="34">
        <v>0.01</v>
      </c>
      <c r="O44" s="34">
        <v>0</v>
      </c>
      <c r="P44" s="34">
        <v>1</v>
      </c>
      <c r="Q44" s="34">
        <v>0</v>
      </c>
      <c r="R44" s="34">
        <v>12</v>
      </c>
      <c r="S44" s="34">
        <v>0</v>
      </c>
      <c r="T44" s="34">
        <v>7</v>
      </c>
      <c r="U44" s="34">
        <v>0</v>
      </c>
      <c r="V44" s="89">
        <f>+M44+O44+Q44</f>
        <v>0</v>
      </c>
      <c r="W44" s="36">
        <f t="shared" si="6"/>
        <v>0</v>
      </c>
      <c r="X44" s="90">
        <v>0</v>
      </c>
      <c r="Y44" s="90"/>
      <c r="Z44" s="90"/>
      <c r="AA44" s="48">
        <v>0</v>
      </c>
      <c r="AB44" s="48"/>
      <c r="AC44" s="48"/>
      <c r="AD44" s="48">
        <v>0</v>
      </c>
      <c r="AE44" s="48"/>
      <c r="AF44" s="48"/>
      <c r="AG44" s="48">
        <v>0</v>
      </c>
      <c r="AH44" s="48"/>
      <c r="AI44" s="48"/>
      <c r="AJ44" s="71">
        <f t="shared" ref="AJ44:AJ49" si="8">+X44</f>
        <v>0</v>
      </c>
      <c r="AK44" s="61">
        <v>0</v>
      </c>
      <c r="AL44" s="42" t="s">
        <v>2508</v>
      </c>
      <c r="AM44" s="42" t="s">
        <v>2465</v>
      </c>
      <c r="AN44" s="43" t="s">
        <v>2509</v>
      </c>
      <c r="AO44" s="72">
        <v>0</v>
      </c>
      <c r="AP44" s="72">
        <v>0</v>
      </c>
      <c r="AQ44" s="81">
        <v>0</v>
      </c>
      <c r="AR44" s="81">
        <v>0</v>
      </c>
      <c r="AS44" s="72">
        <v>0</v>
      </c>
      <c r="AT44" s="72">
        <v>0</v>
      </c>
    </row>
    <row r="45" spans="1:46" s="47" customFormat="1" ht="12.75" customHeight="1" x14ac:dyDescent="0.2">
      <c r="A45" s="28"/>
      <c r="B45" s="29"/>
      <c r="C45" s="51"/>
      <c r="D45" s="51"/>
      <c r="E45" s="51"/>
      <c r="F45" s="30" t="s">
        <v>2456</v>
      </c>
      <c r="G45" s="30" t="s">
        <v>2339</v>
      </c>
      <c r="H45" s="30" t="s">
        <v>2419</v>
      </c>
      <c r="I45" s="30" t="s">
        <v>2418</v>
      </c>
      <c r="J45" s="31" t="s">
        <v>2258</v>
      </c>
      <c r="K45" s="167">
        <v>100</v>
      </c>
      <c r="L45" s="34">
        <v>100</v>
      </c>
      <c r="M45" s="32">
        <v>100</v>
      </c>
      <c r="N45" s="34">
        <v>100</v>
      </c>
      <c r="O45" s="34">
        <v>100</v>
      </c>
      <c r="P45" s="34">
        <v>100</v>
      </c>
      <c r="Q45" s="34">
        <v>25</v>
      </c>
      <c r="R45" s="34">
        <v>100</v>
      </c>
      <c r="S45" s="34">
        <v>0</v>
      </c>
      <c r="T45" s="34">
        <v>100</v>
      </c>
      <c r="U45" s="34">
        <v>0</v>
      </c>
      <c r="V45" s="35">
        <f>+AVERAGE(M45,O45,Q45,S45,U45)</f>
        <v>45</v>
      </c>
      <c r="W45" s="86">
        <f t="shared" si="6"/>
        <v>0.45</v>
      </c>
      <c r="X45" s="90">
        <v>25</v>
      </c>
      <c r="Y45" s="90"/>
      <c r="Z45" s="90"/>
      <c r="AA45" s="48">
        <v>0</v>
      </c>
      <c r="AB45" s="48"/>
      <c r="AC45" s="48"/>
      <c r="AD45" s="48">
        <v>0</v>
      </c>
      <c r="AE45" s="48"/>
      <c r="AF45" s="48"/>
      <c r="AG45" s="48">
        <v>0</v>
      </c>
      <c r="AH45" s="48"/>
      <c r="AI45" s="48"/>
      <c r="AJ45" s="71">
        <f t="shared" si="8"/>
        <v>25</v>
      </c>
      <c r="AK45" s="41">
        <f>+AJ45/P45</f>
        <v>0.25</v>
      </c>
      <c r="AL45" s="50"/>
      <c r="AM45" s="50"/>
      <c r="AN45" s="43"/>
      <c r="AO45" s="72">
        <v>398</v>
      </c>
      <c r="AP45" s="72">
        <v>299</v>
      </c>
      <c r="AQ45" s="81">
        <v>25951236476</v>
      </c>
      <c r="AR45" s="81">
        <v>16017102861</v>
      </c>
      <c r="AS45" s="72">
        <v>372923</v>
      </c>
      <c r="AT45" s="72">
        <v>76</v>
      </c>
    </row>
    <row r="46" spans="1:46" s="47" customFormat="1" ht="12.75" customHeight="1" x14ac:dyDescent="0.2">
      <c r="A46" s="28"/>
      <c r="B46" s="29"/>
      <c r="C46" s="51" t="s">
        <v>2272</v>
      </c>
      <c r="D46" s="51" t="s">
        <v>2429</v>
      </c>
      <c r="E46" s="51" t="s">
        <v>2394</v>
      </c>
      <c r="F46" s="30" t="s">
        <v>2334</v>
      </c>
      <c r="G46" s="30" t="s">
        <v>2335</v>
      </c>
      <c r="H46" s="30" t="s">
        <v>2336</v>
      </c>
      <c r="I46" s="30" t="s">
        <v>2417</v>
      </c>
      <c r="J46" s="31" t="s">
        <v>2261</v>
      </c>
      <c r="K46" s="165">
        <f>+L46+N46+P46+R46+T46</f>
        <v>30.599999999999998</v>
      </c>
      <c r="L46" s="34">
        <v>1</v>
      </c>
      <c r="M46" s="32">
        <f t="shared" si="7"/>
        <v>0</v>
      </c>
      <c r="N46" s="34">
        <v>0.01</v>
      </c>
      <c r="O46" s="34">
        <v>0</v>
      </c>
      <c r="P46" s="34">
        <v>2</v>
      </c>
      <c r="Q46" s="34">
        <v>0.85</v>
      </c>
      <c r="R46" s="34">
        <v>20</v>
      </c>
      <c r="S46" s="34">
        <v>0</v>
      </c>
      <c r="T46" s="34">
        <v>7.59</v>
      </c>
      <c r="U46" s="34">
        <v>0</v>
      </c>
      <c r="V46" s="89">
        <f>+M46+O46+Q46+S46+U46</f>
        <v>0.85</v>
      </c>
      <c r="W46" s="88">
        <f>+V46/K46</f>
        <v>2.777777777777778E-2</v>
      </c>
      <c r="X46" s="39">
        <v>0.85</v>
      </c>
      <c r="Y46" s="39"/>
      <c r="Z46" s="39"/>
      <c r="AA46" s="48">
        <v>0</v>
      </c>
      <c r="AB46" s="48"/>
      <c r="AC46" s="48"/>
      <c r="AD46" s="48">
        <v>0</v>
      </c>
      <c r="AE46" s="48"/>
      <c r="AF46" s="48"/>
      <c r="AG46" s="48">
        <v>0</v>
      </c>
      <c r="AH46" s="48"/>
      <c r="AI46" s="48"/>
      <c r="AJ46" s="94">
        <f t="shared" si="8"/>
        <v>0.85</v>
      </c>
      <c r="AK46" s="95">
        <f>+AJ46/P46</f>
        <v>0.42499999999999999</v>
      </c>
      <c r="AL46" s="43" t="s">
        <v>2497</v>
      </c>
      <c r="AM46" s="43" t="s">
        <v>2498</v>
      </c>
      <c r="AN46" s="43" t="s">
        <v>2499</v>
      </c>
      <c r="AO46" s="44">
        <v>47585</v>
      </c>
      <c r="AP46" s="44">
        <v>8400</v>
      </c>
      <c r="AQ46" s="96">
        <v>65113629417</v>
      </c>
      <c r="AR46" s="96">
        <v>53824445627</v>
      </c>
      <c r="AS46" s="44">
        <v>21337</v>
      </c>
      <c r="AT46" s="44">
        <v>6125</v>
      </c>
    </row>
    <row r="47" spans="1:46" s="47" customFormat="1" ht="12.75" customHeight="1" x14ac:dyDescent="0.2">
      <c r="A47" s="28"/>
      <c r="B47" s="29"/>
      <c r="C47" s="51"/>
      <c r="D47" s="51"/>
      <c r="E47" s="51"/>
      <c r="F47" s="30" t="s">
        <v>2473</v>
      </c>
      <c r="G47" s="30" t="s">
        <v>2335</v>
      </c>
      <c r="H47" s="30" t="s">
        <v>2474</v>
      </c>
      <c r="I47" s="30" t="s">
        <v>2417</v>
      </c>
      <c r="J47" s="31" t="s">
        <v>2261</v>
      </c>
      <c r="K47" s="165">
        <f>+L47+N47+P47+R47+T47</f>
        <v>80</v>
      </c>
      <c r="L47" s="34">
        <v>0</v>
      </c>
      <c r="M47" s="32">
        <v>0</v>
      </c>
      <c r="N47" s="34">
        <v>4</v>
      </c>
      <c r="O47" s="34">
        <v>4</v>
      </c>
      <c r="P47" s="34">
        <v>15</v>
      </c>
      <c r="Q47" s="34">
        <v>2.62</v>
      </c>
      <c r="R47" s="34">
        <v>31</v>
      </c>
      <c r="S47" s="34">
        <v>0</v>
      </c>
      <c r="T47" s="34">
        <v>30</v>
      </c>
      <c r="U47" s="34">
        <v>0</v>
      </c>
      <c r="V47" s="89">
        <f>+M47+O47+Q47+S47+U47</f>
        <v>6.62</v>
      </c>
      <c r="W47" s="88">
        <f>+V47/K47</f>
        <v>8.2750000000000004E-2</v>
      </c>
      <c r="X47" s="39">
        <v>2.62</v>
      </c>
      <c r="Y47" s="39"/>
      <c r="Z47" s="39"/>
      <c r="AA47" s="48">
        <v>0</v>
      </c>
      <c r="AB47" s="48"/>
      <c r="AC47" s="48"/>
      <c r="AD47" s="48">
        <v>0</v>
      </c>
      <c r="AE47" s="48"/>
      <c r="AF47" s="48"/>
      <c r="AG47" s="48">
        <v>0</v>
      </c>
      <c r="AH47" s="48"/>
      <c r="AI47" s="48"/>
      <c r="AJ47" s="94">
        <f t="shared" si="8"/>
        <v>2.62</v>
      </c>
      <c r="AK47" s="95">
        <f>+AJ47/P47</f>
        <v>0.17466666666666666</v>
      </c>
      <c r="AL47" s="43"/>
      <c r="AM47" s="43"/>
      <c r="AN47" s="43"/>
      <c r="AO47" s="44"/>
      <c r="AP47" s="44"/>
      <c r="AQ47" s="96"/>
      <c r="AR47" s="96"/>
      <c r="AS47" s="44"/>
      <c r="AT47" s="44"/>
    </row>
    <row r="48" spans="1:46" s="47" customFormat="1" ht="12.75" customHeight="1" x14ac:dyDescent="0.2">
      <c r="A48" s="28"/>
      <c r="B48" s="29"/>
      <c r="C48" s="51"/>
      <c r="D48" s="51"/>
      <c r="E48" s="51"/>
      <c r="F48" s="30" t="s">
        <v>2475</v>
      </c>
      <c r="G48" s="30" t="s">
        <v>2335</v>
      </c>
      <c r="H48" s="30" t="s">
        <v>2474</v>
      </c>
      <c r="I48" s="30" t="s">
        <v>2417</v>
      </c>
      <c r="J48" s="31" t="s">
        <v>2261</v>
      </c>
      <c r="K48" s="165">
        <v>100</v>
      </c>
      <c r="L48" s="34">
        <v>0</v>
      </c>
      <c r="M48" s="32">
        <v>0</v>
      </c>
      <c r="N48" s="34">
        <v>17.739999999999998</v>
      </c>
      <c r="O48" s="34">
        <v>17.739999999999998</v>
      </c>
      <c r="P48" s="34">
        <v>62.26</v>
      </c>
      <c r="Q48" s="34">
        <v>3.11</v>
      </c>
      <c r="R48" s="34">
        <v>20</v>
      </c>
      <c r="S48" s="34">
        <v>0</v>
      </c>
      <c r="T48" s="34">
        <v>0</v>
      </c>
      <c r="U48" s="34">
        <v>0</v>
      </c>
      <c r="V48" s="89">
        <f>+M48+O48+Q48+S48+U48</f>
        <v>20.849999999999998</v>
      </c>
      <c r="W48" s="88">
        <f>+V48/K48</f>
        <v>0.20849999999999999</v>
      </c>
      <c r="X48" s="39">
        <v>3.11</v>
      </c>
      <c r="Y48" s="39"/>
      <c r="Z48" s="39"/>
      <c r="AA48" s="48">
        <v>0</v>
      </c>
      <c r="AB48" s="48"/>
      <c r="AC48" s="48"/>
      <c r="AD48" s="48">
        <v>0</v>
      </c>
      <c r="AE48" s="48"/>
      <c r="AF48" s="48"/>
      <c r="AG48" s="48">
        <v>0</v>
      </c>
      <c r="AH48" s="48"/>
      <c r="AI48" s="48"/>
      <c r="AJ48" s="94">
        <f t="shared" si="8"/>
        <v>3.11</v>
      </c>
      <c r="AK48" s="95">
        <f>+AJ48/P48</f>
        <v>4.9951814969482811E-2</v>
      </c>
      <c r="AL48" s="43"/>
      <c r="AM48" s="43"/>
      <c r="AN48" s="43"/>
      <c r="AO48" s="44"/>
      <c r="AP48" s="44"/>
      <c r="AQ48" s="96"/>
      <c r="AR48" s="96"/>
      <c r="AS48" s="44"/>
      <c r="AT48" s="44"/>
    </row>
    <row r="49" spans="1:46" s="47" customFormat="1" ht="12.75" customHeight="1" x14ac:dyDescent="0.2">
      <c r="A49" s="28"/>
      <c r="B49" s="29"/>
      <c r="C49" s="51"/>
      <c r="D49" s="51"/>
      <c r="E49" s="51"/>
      <c r="F49" s="30" t="s">
        <v>2476</v>
      </c>
      <c r="G49" s="30" t="s">
        <v>2335</v>
      </c>
      <c r="H49" s="30" t="s">
        <v>2474</v>
      </c>
      <c r="I49" s="30" t="s">
        <v>2417</v>
      </c>
      <c r="J49" s="31" t="s">
        <v>2261</v>
      </c>
      <c r="K49" s="165">
        <f>+L49+N49+P49+R49+T49</f>
        <v>100.00000000000001</v>
      </c>
      <c r="L49" s="34">
        <v>0</v>
      </c>
      <c r="M49" s="32">
        <v>0</v>
      </c>
      <c r="N49" s="34">
        <v>1.7</v>
      </c>
      <c r="O49" s="34">
        <v>1.7</v>
      </c>
      <c r="P49" s="34">
        <v>33.1</v>
      </c>
      <c r="Q49" s="34">
        <v>6.8</v>
      </c>
      <c r="R49" s="34">
        <v>41</v>
      </c>
      <c r="S49" s="34">
        <v>0</v>
      </c>
      <c r="T49" s="34">
        <v>24.2</v>
      </c>
      <c r="U49" s="34">
        <v>0</v>
      </c>
      <c r="V49" s="89">
        <f>+M49+O49+Q49+S49+U49</f>
        <v>8.5</v>
      </c>
      <c r="W49" s="88">
        <f>+V49/K49</f>
        <v>8.4999999999999992E-2</v>
      </c>
      <c r="X49" s="39">
        <v>6.8</v>
      </c>
      <c r="Y49" s="39"/>
      <c r="Z49" s="39"/>
      <c r="AA49" s="48">
        <v>0</v>
      </c>
      <c r="AB49" s="48"/>
      <c r="AC49" s="48"/>
      <c r="AD49" s="48">
        <v>0</v>
      </c>
      <c r="AE49" s="48"/>
      <c r="AF49" s="48"/>
      <c r="AG49" s="48">
        <v>0</v>
      </c>
      <c r="AH49" s="48"/>
      <c r="AI49" s="48"/>
      <c r="AJ49" s="94">
        <f t="shared" si="8"/>
        <v>6.8</v>
      </c>
      <c r="AK49" s="95">
        <f>+AJ49/P49</f>
        <v>0.20543806646525678</v>
      </c>
      <c r="AL49" s="43"/>
      <c r="AM49" s="43"/>
      <c r="AN49" s="43"/>
      <c r="AO49" s="44"/>
      <c r="AP49" s="44"/>
      <c r="AQ49" s="96"/>
      <c r="AR49" s="96"/>
      <c r="AS49" s="44"/>
      <c r="AT49" s="44"/>
    </row>
    <row r="50" spans="1:46" s="47" customFormat="1" ht="12.75" customHeight="1" x14ac:dyDescent="0.2">
      <c r="A50" s="28"/>
      <c r="B50" s="29"/>
      <c r="C50" s="51"/>
      <c r="D50" s="51"/>
      <c r="E50" s="51"/>
      <c r="F50" s="30" t="s">
        <v>2455</v>
      </c>
      <c r="G50" s="30" t="s">
        <v>2335</v>
      </c>
      <c r="H50" s="30" t="s">
        <v>2420</v>
      </c>
      <c r="I50" s="30" t="s">
        <v>2236</v>
      </c>
      <c r="J50" s="31" t="s">
        <v>2258</v>
      </c>
      <c r="K50" s="167">
        <v>100</v>
      </c>
      <c r="L50" s="34">
        <v>100</v>
      </c>
      <c r="M50" s="32">
        <v>100</v>
      </c>
      <c r="N50" s="34">
        <v>100</v>
      </c>
      <c r="O50" s="34">
        <v>100</v>
      </c>
      <c r="P50" s="34">
        <v>100</v>
      </c>
      <c r="Q50" s="34">
        <v>25</v>
      </c>
      <c r="R50" s="34">
        <v>100</v>
      </c>
      <c r="S50" s="34">
        <v>0</v>
      </c>
      <c r="T50" s="34">
        <v>100</v>
      </c>
      <c r="U50" s="34">
        <v>0</v>
      </c>
      <c r="V50" s="35">
        <f>+AVERAGE(M50,O50,Q50,0,0)</f>
        <v>45</v>
      </c>
      <c r="W50" s="86">
        <f t="shared" si="6"/>
        <v>0.45</v>
      </c>
      <c r="X50" s="90">
        <v>25</v>
      </c>
      <c r="Y50" s="90"/>
      <c r="Z50" s="90"/>
      <c r="AA50" s="48">
        <v>0</v>
      </c>
      <c r="AB50" s="48"/>
      <c r="AC50" s="48"/>
      <c r="AD50" s="48">
        <v>0</v>
      </c>
      <c r="AE50" s="48"/>
      <c r="AF50" s="48"/>
      <c r="AG50" s="48">
        <v>0</v>
      </c>
      <c r="AH50" s="48"/>
      <c r="AI50" s="48"/>
      <c r="AJ50" s="71">
        <f>AG50</f>
        <v>0</v>
      </c>
      <c r="AK50" s="41">
        <f>+X50/P50</f>
        <v>0.25</v>
      </c>
      <c r="AL50" s="43"/>
      <c r="AM50" s="43"/>
      <c r="AN50" s="43"/>
      <c r="AO50" s="72">
        <v>644723</v>
      </c>
      <c r="AP50" s="72">
        <v>394467</v>
      </c>
      <c r="AQ50" s="81">
        <v>855361828169</v>
      </c>
      <c r="AR50" s="81">
        <v>724052670649</v>
      </c>
      <c r="AS50" s="72">
        <v>1437855</v>
      </c>
      <c r="AT50" s="72">
        <v>945790</v>
      </c>
    </row>
    <row r="51" spans="1:46" s="47" customFormat="1" ht="12.75" customHeight="1" x14ac:dyDescent="0.2">
      <c r="A51" s="28"/>
      <c r="B51" s="29"/>
      <c r="C51" s="30" t="s">
        <v>2272</v>
      </c>
      <c r="D51" s="30" t="s">
        <v>2429</v>
      </c>
      <c r="E51" s="30" t="s">
        <v>2394</v>
      </c>
      <c r="F51" s="30" t="s">
        <v>2371</v>
      </c>
      <c r="G51" s="30" t="s">
        <v>2370</v>
      </c>
      <c r="H51" s="30" t="s">
        <v>2372</v>
      </c>
      <c r="I51" s="30" t="s">
        <v>2269</v>
      </c>
      <c r="J51" s="65" t="s">
        <v>2261</v>
      </c>
      <c r="K51" s="165">
        <f>+L51+N51+P51+R51+T51</f>
        <v>5001</v>
      </c>
      <c r="L51" s="97">
        <v>0</v>
      </c>
      <c r="M51" s="32">
        <v>0</v>
      </c>
      <c r="N51" s="34">
        <v>1614</v>
      </c>
      <c r="O51" s="34">
        <v>1613</v>
      </c>
      <c r="P51" s="34">
        <v>931</v>
      </c>
      <c r="Q51" s="34">
        <v>72</v>
      </c>
      <c r="R51" s="34">
        <v>1102</v>
      </c>
      <c r="S51" s="34">
        <v>0</v>
      </c>
      <c r="T51" s="34">
        <v>1354</v>
      </c>
      <c r="U51" s="34">
        <v>0</v>
      </c>
      <c r="V51" s="66">
        <f>+M51+O51+Q51+S51+U51</f>
        <v>1685</v>
      </c>
      <c r="W51" s="36">
        <f t="shared" si="6"/>
        <v>0.33693261347730452</v>
      </c>
      <c r="X51" s="90">
        <v>72</v>
      </c>
      <c r="Y51" s="90"/>
      <c r="Z51" s="90"/>
      <c r="AA51" s="48">
        <v>0</v>
      </c>
      <c r="AB51" s="48"/>
      <c r="AC51" s="48"/>
      <c r="AD51" s="48">
        <v>0</v>
      </c>
      <c r="AE51" s="48"/>
      <c r="AF51" s="48"/>
      <c r="AG51" s="48">
        <v>0</v>
      </c>
      <c r="AH51" s="48"/>
      <c r="AI51" s="48"/>
      <c r="AJ51" s="71">
        <f t="shared" ref="AJ51:AJ61" si="9">+X51</f>
        <v>72</v>
      </c>
      <c r="AK51" s="41">
        <f t="shared" ref="AK51:AK61" si="10">+AJ51/P51</f>
        <v>7.7336197636949516E-2</v>
      </c>
      <c r="AL51" s="43" t="s">
        <v>2522</v>
      </c>
      <c r="AM51" s="43" t="s">
        <v>2523</v>
      </c>
      <c r="AN51" s="43" t="s">
        <v>2524</v>
      </c>
      <c r="AO51" s="72">
        <v>0</v>
      </c>
      <c r="AP51" s="72">
        <v>0</v>
      </c>
      <c r="AQ51" s="72">
        <v>0</v>
      </c>
      <c r="AR51" s="72">
        <v>0</v>
      </c>
      <c r="AS51" s="72">
        <v>6000</v>
      </c>
      <c r="AT51" s="72">
        <v>0</v>
      </c>
    </row>
    <row r="52" spans="1:46" s="47" customFormat="1" ht="12.75" customHeight="1" x14ac:dyDescent="0.2">
      <c r="A52" s="28"/>
      <c r="B52" s="29"/>
      <c r="C52" s="30" t="s">
        <v>2272</v>
      </c>
      <c r="D52" s="30" t="s">
        <v>2429</v>
      </c>
      <c r="E52" s="30" t="s">
        <v>2394</v>
      </c>
      <c r="F52" s="30" t="s">
        <v>2482</v>
      </c>
      <c r="G52" s="30" t="s">
        <v>2370</v>
      </c>
      <c r="H52" s="30" t="s">
        <v>2483</v>
      </c>
      <c r="I52" s="30" t="s">
        <v>2235</v>
      </c>
      <c r="J52" s="65" t="s">
        <v>2261</v>
      </c>
      <c r="K52" s="165">
        <f>+L52+N52+P52+R52+T52</f>
        <v>33646</v>
      </c>
      <c r="L52" s="97">
        <v>0</v>
      </c>
      <c r="M52" s="32">
        <v>0</v>
      </c>
      <c r="N52" s="34">
        <v>19266</v>
      </c>
      <c r="O52" s="34">
        <v>19266</v>
      </c>
      <c r="P52" s="34">
        <v>9000</v>
      </c>
      <c r="Q52" s="34">
        <v>1475</v>
      </c>
      <c r="R52" s="34">
        <v>5000</v>
      </c>
      <c r="S52" s="34">
        <v>0</v>
      </c>
      <c r="T52" s="34">
        <v>380</v>
      </c>
      <c r="U52" s="34">
        <v>0</v>
      </c>
      <c r="V52" s="66">
        <f>+M52+O52+Q52+S52+U52</f>
        <v>20741</v>
      </c>
      <c r="W52" s="36">
        <f t="shared" si="6"/>
        <v>0.61644772038280926</v>
      </c>
      <c r="X52" s="90">
        <v>1475</v>
      </c>
      <c r="Y52" s="90"/>
      <c r="Z52" s="90"/>
      <c r="AA52" s="48">
        <v>0</v>
      </c>
      <c r="AB52" s="48"/>
      <c r="AC52" s="48"/>
      <c r="AD52" s="48">
        <v>0</v>
      </c>
      <c r="AE52" s="48"/>
      <c r="AF52" s="48"/>
      <c r="AG52" s="48">
        <v>0</v>
      </c>
      <c r="AH52" s="48"/>
      <c r="AI52" s="48"/>
      <c r="AJ52" s="71">
        <f t="shared" si="9"/>
        <v>1475</v>
      </c>
      <c r="AK52" s="41">
        <f t="shared" si="10"/>
        <v>0.16388888888888889</v>
      </c>
      <c r="AL52" s="43"/>
      <c r="AM52" s="43"/>
      <c r="AN52" s="43"/>
      <c r="AO52" s="72">
        <v>0</v>
      </c>
      <c r="AP52" s="72">
        <v>0</v>
      </c>
      <c r="AQ52" s="72">
        <v>0</v>
      </c>
      <c r="AR52" s="72">
        <v>0</v>
      </c>
      <c r="AS52" s="72">
        <v>0</v>
      </c>
      <c r="AT52" s="72">
        <v>0</v>
      </c>
    </row>
    <row r="53" spans="1:46" s="47" customFormat="1" ht="12.75" customHeight="1" x14ac:dyDescent="0.2">
      <c r="A53" s="28"/>
      <c r="B53" s="29"/>
      <c r="C53" s="30" t="s">
        <v>2272</v>
      </c>
      <c r="D53" s="30" t="s">
        <v>2429</v>
      </c>
      <c r="E53" s="30" t="s">
        <v>2394</v>
      </c>
      <c r="F53" s="30" t="s">
        <v>2485</v>
      </c>
      <c r="G53" s="30" t="s">
        <v>2370</v>
      </c>
      <c r="H53" s="30" t="s">
        <v>2484</v>
      </c>
      <c r="I53" s="30" t="s">
        <v>2235</v>
      </c>
      <c r="J53" s="65" t="s">
        <v>2261</v>
      </c>
      <c r="K53" s="165">
        <v>100</v>
      </c>
      <c r="L53" s="97">
        <v>0</v>
      </c>
      <c r="M53" s="32">
        <v>0</v>
      </c>
      <c r="N53" s="34">
        <v>36</v>
      </c>
      <c r="O53" s="34">
        <v>36</v>
      </c>
      <c r="P53" s="34">
        <v>32</v>
      </c>
      <c r="Q53" s="34">
        <v>8.5</v>
      </c>
      <c r="R53" s="34">
        <v>32</v>
      </c>
      <c r="S53" s="34">
        <v>0</v>
      </c>
      <c r="T53" s="34">
        <v>0</v>
      </c>
      <c r="U53" s="34">
        <v>0</v>
      </c>
      <c r="V53" s="66">
        <f>+M53+O53+Q53+S53+U53</f>
        <v>44.5</v>
      </c>
      <c r="W53" s="36">
        <f t="shared" si="6"/>
        <v>0.44500000000000001</v>
      </c>
      <c r="X53" s="90">
        <v>8.5</v>
      </c>
      <c r="Y53" s="90"/>
      <c r="Z53" s="90"/>
      <c r="AA53" s="48">
        <v>0</v>
      </c>
      <c r="AB53" s="48"/>
      <c r="AC53" s="48"/>
      <c r="AD53" s="48">
        <v>0</v>
      </c>
      <c r="AE53" s="48"/>
      <c r="AF53" s="48"/>
      <c r="AG53" s="48">
        <v>0</v>
      </c>
      <c r="AH53" s="48"/>
      <c r="AI53" s="48"/>
      <c r="AJ53" s="98">
        <f t="shared" si="9"/>
        <v>8.5</v>
      </c>
      <c r="AK53" s="41">
        <f t="shared" si="10"/>
        <v>0.265625</v>
      </c>
      <c r="AL53" s="43"/>
      <c r="AM53" s="43"/>
      <c r="AN53" s="43"/>
      <c r="AO53" s="72">
        <v>0</v>
      </c>
      <c r="AP53" s="72">
        <v>0</v>
      </c>
      <c r="AQ53" s="72">
        <v>0</v>
      </c>
      <c r="AR53" s="72">
        <v>0</v>
      </c>
      <c r="AS53" s="72">
        <v>0</v>
      </c>
      <c r="AT53" s="72">
        <v>0</v>
      </c>
    </row>
    <row r="54" spans="1:46" s="47" customFormat="1" ht="12.75" customHeight="1" x14ac:dyDescent="0.2">
      <c r="A54" s="28"/>
      <c r="B54" s="29"/>
      <c r="C54" s="51" t="s">
        <v>2272</v>
      </c>
      <c r="D54" s="51" t="s">
        <v>2429</v>
      </c>
      <c r="E54" s="51" t="s">
        <v>2394</v>
      </c>
      <c r="F54" s="30" t="s">
        <v>2329</v>
      </c>
      <c r="G54" s="30" t="s">
        <v>2330</v>
      </c>
      <c r="H54" s="30" t="s">
        <v>2421</v>
      </c>
      <c r="I54" s="30" t="s">
        <v>2422</v>
      </c>
      <c r="J54" s="31" t="s">
        <v>2261</v>
      </c>
      <c r="K54" s="165">
        <f>+L54+N54+P54+R54+T54</f>
        <v>6</v>
      </c>
      <c r="L54" s="34">
        <v>0</v>
      </c>
      <c r="M54" s="32">
        <v>0</v>
      </c>
      <c r="N54" s="34">
        <v>3</v>
      </c>
      <c r="O54" s="34">
        <v>3</v>
      </c>
      <c r="P54" s="34">
        <v>3</v>
      </c>
      <c r="Q54" s="34">
        <v>0</v>
      </c>
      <c r="R54" s="34">
        <v>0</v>
      </c>
      <c r="S54" s="34">
        <v>0</v>
      </c>
      <c r="T54" s="34">
        <v>0</v>
      </c>
      <c r="U54" s="34">
        <v>0</v>
      </c>
      <c r="V54" s="35">
        <f>+M54+O54+Q54+S54+U54</f>
        <v>3</v>
      </c>
      <c r="W54" s="86">
        <f>+V54/K54</f>
        <v>0.5</v>
      </c>
      <c r="X54" s="90">
        <v>0</v>
      </c>
      <c r="Y54" s="90"/>
      <c r="Z54" s="90"/>
      <c r="AA54" s="48">
        <v>0</v>
      </c>
      <c r="AB54" s="48"/>
      <c r="AC54" s="48"/>
      <c r="AD54" s="48">
        <v>0</v>
      </c>
      <c r="AE54" s="48"/>
      <c r="AF54" s="48"/>
      <c r="AG54" s="48">
        <v>0</v>
      </c>
      <c r="AH54" s="48"/>
      <c r="AI54" s="48"/>
      <c r="AJ54" s="71">
        <f t="shared" si="9"/>
        <v>0</v>
      </c>
      <c r="AK54" s="61">
        <f t="shared" si="10"/>
        <v>0</v>
      </c>
      <c r="AL54" s="43" t="s">
        <v>2500</v>
      </c>
      <c r="AM54" s="43" t="s">
        <v>2498</v>
      </c>
      <c r="AN54" s="43" t="s">
        <v>2501</v>
      </c>
      <c r="AO54" s="44">
        <v>203</v>
      </c>
      <c r="AP54" s="44">
        <v>0</v>
      </c>
      <c r="AQ54" s="96">
        <v>82377665</v>
      </c>
      <c r="AR54" s="96">
        <v>82377665</v>
      </c>
      <c r="AS54" s="44">
        <v>0</v>
      </c>
      <c r="AT54" s="44">
        <v>0</v>
      </c>
    </row>
    <row r="55" spans="1:46" s="47" customFormat="1" ht="12.75" customHeight="1" x14ac:dyDescent="0.2">
      <c r="A55" s="28"/>
      <c r="B55" s="29"/>
      <c r="C55" s="51"/>
      <c r="D55" s="51"/>
      <c r="E55" s="51"/>
      <c r="F55" s="30" t="s">
        <v>2452</v>
      </c>
      <c r="G55" s="30" t="s">
        <v>2330</v>
      </c>
      <c r="H55" s="30" t="s">
        <v>2453</v>
      </c>
      <c r="I55" s="30" t="s">
        <v>2422</v>
      </c>
      <c r="J55" s="31" t="s">
        <v>2454</v>
      </c>
      <c r="K55" s="165">
        <f>+L55+N55+P55+R55+T55</f>
        <v>6</v>
      </c>
      <c r="L55" s="34">
        <v>0</v>
      </c>
      <c r="M55" s="32">
        <v>0</v>
      </c>
      <c r="N55" s="34">
        <v>3</v>
      </c>
      <c r="O55" s="34">
        <v>3</v>
      </c>
      <c r="P55" s="34">
        <v>3</v>
      </c>
      <c r="Q55" s="34">
        <v>0</v>
      </c>
      <c r="R55" s="34">
        <v>0</v>
      </c>
      <c r="S55" s="34">
        <v>0</v>
      </c>
      <c r="T55" s="34">
        <v>0</v>
      </c>
      <c r="U55" s="34">
        <v>0</v>
      </c>
      <c r="V55" s="35">
        <f>+M55+O55+Q55+S55+U55</f>
        <v>3</v>
      </c>
      <c r="W55" s="86">
        <f>+V55/K55</f>
        <v>0.5</v>
      </c>
      <c r="X55" s="90">
        <v>0</v>
      </c>
      <c r="Y55" s="90"/>
      <c r="Z55" s="90"/>
      <c r="AA55" s="48">
        <v>0</v>
      </c>
      <c r="AB55" s="48"/>
      <c r="AC55" s="48"/>
      <c r="AD55" s="48">
        <v>0</v>
      </c>
      <c r="AE55" s="48"/>
      <c r="AF55" s="48"/>
      <c r="AG55" s="48">
        <v>0</v>
      </c>
      <c r="AH55" s="48"/>
      <c r="AI55" s="48"/>
      <c r="AJ55" s="71">
        <f t="shared" si="9"/>
        <v>0</v>
      </c>
      <c r="AK55" s="61">
        <f t="shared" si="10"/>
        <v>0</v>
      </c>
      <c r="AL55" s="43"/>
      <c r="AM55" s="43"/>
      <c r="AN55" s="43"/>
      <c r="AO55" s="44"/>
      <c r="AP55" s="44"/>
      <c r="AQ55" s="96"/>
      <c r="AR55" s="96"/>
      <c r="AS55" s="44"/>
      <c r="AT55" s="44"/>
    </row>
    <row r="56" spans="1:46" s="47" customFormat="1" ht="12.75" customHeight="1" x14ac:dyDescent="0.2">
      <c r="A56" s="28"/>
      <c r="B56" s="29"/>
      <c r="C56" s="51"/>
      <c r="D56" s="51"/>
      <c r="E56" s="51"/>
      <c r="F56" s="30" t="s">
        <v>2451</v>
      </c>
      <c r="G56" s="30" t="s">
        <v>2330</v>
      </c>
      <c r="H56" s="30" t="s">
        <v>2423</v>
      </c>
      <c r="I56" s="30" t="s">
        <v>2236</v>
      </c>
      <c r="J56" s="31" t="s">
        <v>2258</v>
      </c>
      <c r="K56" s="167">
        <v>100</v>
      </c>
      <c r="L56" s="34">
        <v>100</v>
      </c>
      <c r="M56" s="32">
        <v>100</v>
      </c>
      <c r="N56" s="34">
        <v>100</v>
      </c>
      <c r="O56" s="34">
        <v>100</v>
      </c>
      <c r="P56" s="34">
        <v>100</v>
      </c>
      <c r="Q56" s="34">
        <v>25</v>
      </c>
      <c r="R56" s="34">
        <v>100</v>
      </c>
      <c r="S56" s="34">
        <v>0</v>
      </c>
      <c r="T56" s="34">
        <v>100</v>
      </c>
      <c r="U56" s="34">
        <v>0</v>
      </c>
      <c r="V56" s="35">
        <f>+AVERAGE(M56,O56,Q56,0,0)</f>
        <v>45</v>
      </c>
      <c r="W56" s="86">
        <f>+V56/K56</f>
        <v>0.45</v>
      </c>
      <c r="X56" s="90">
        <v>25</v>
      </c>
      <c r="Y56" s="90"/>
      <c r="Z56" s="90"/>
      <c r="AA56" s="48">
        <v>0</v>
      </c>
      <c r="AB56" s="48"/>
      <c r="AC56" s="48"/>
      <c r="AD56" s="48">
        <v>0</v>
      </c>
      <c r="AE56" s="48"/>
      <c r="AF56" s="48"/>
      <c r="AG56" s="48">
        <v>0</v>
      </c>
      <c r="AH56" s="48"/>
      <c r="AI56" s="48"/>
      <c r="AJ56" s="71">
        <f t="shared" si="9"/>
        <v>25</v>
      </c>
      <c r="AK56" s="41">
        <f t="shared" si="10"/>
        <v>0.25</v>
      </c>
      <c r="AL56" s="43"/>
      <c r="AM56" s="43"/>
      <c r="AN56" s="43"/>
      <c r="AO56" s="72">
        <v>33138</v>
      </c>
      <c r="AP56" s="72">
        <v>8126</v>
      </c>
      <c r="AQ56" s="81">
        <v>239285236421</v>
      </c>
      <c r="AR56" s="81">
        <v>239265818665</v>
      </c>
      <c r="AS56" s="72">
        <v>310941</v>
      </c>
      <c r="AT56" s="72">
        <v>10779</v>
      </c>
    </row>
    <row r="57" spans="1:46" s="47" customFormat="1" ht="12.75" customHeight="1" x14ac:dyDescent="0.2">
      <c r="A57" s="28"/>
      <c r="B57" s="29"/>
      <c r="C57" s="51" t="s">
        <v>2272</v>
      </c>
      <c r="D57" s="51" t="s">
        <v>2429</v>
      </c>
      <c r="E57" s="51" t="s">
        <v>2394</v>
      </c>
      <c r="F57" s="30" t="s">
        <v>2331</v>
      </c>
      <c r="G57" s="30" t="s">
        <v>2332</v>
      </c>
      <c r="H57" s="30" t="s">
        <v>2333</v>
      </c>
      <c r="I57" s="30" t="s">
        <v>2269</v>
      </c>
      <c r="J57" s="31" t="s">
        <v>2261</v>
      </c>
      <c r="K57" s="165">
        <v>43</v>
      </c>
      <c r="L57" s="34">
        <v>0</v>
      </c>
      <c r="M57" s="32">
        <v>0</v>
      </c>
      <c r="N57" s="34">
        <v>24</v>
      </c>
      <c r="O57" s="34">
        <v>20</v>
      </c>
      <c r="P57" s="34">
        <v>5</v>
      </c>
      <c r="Q57" s="34">
        <v>1</v>
      </c>
      <c r="R57" s="34">
        <v>18</v>
      </c>
      <c r="S57" s="34">
        <v>0</v>
      </c>
      <c r="T57" s="34">
        <v>0</v>
      </c>
      <c r="U57" s="34">
        <v>0</v>
      </c>
      <c r="V57" s="35">
        <f>+M57+O57+Q57+S57+U57</f>
        <v>21</v>
      </c>
      <c r="W57" s="36">
        <f>+V57/K57</f>
        <v>0.48837209302325579</v>
      </c>
      <c r="X57" s="90">
        <v>1</v>
      </c>
      <c r="Y57" s="90"/>
      <c r="Z57" s="90"/>
      <c r="AA57" s="48">
        <v>0</v>
      </c>
      <c r="AB57" s="48"/>
      <c r="AC57" s="48"/>
      <c r="AD57" s="48">
        <v>0</v>
      </c>
      <c r="AE57" s="48"/>
      <c r="AF57" s="48"/>
      <c r="AG57" s="48">
        <v>0</v>
      </c>
      <c r="AH57" s="48"/>
      <c r="AI57" s="48"/>
      <c r="AJ57" s="71">
        <f t="shared" si="9"/>
        <v>1</v>
      </c>
      <c r="AK57" s="41">
        <f t="shared" si="10"/>
        <v>0.2</v>
      </c>
      <c r="AL57" s="43" t="s">
        <v>2513</v>
      </c>
      <c r="AM57" s="43" t="s">
        <v>2514</v>
      </c>
      <c r="AN57" s="43" t="s">
        <v>2506</v>
      </c>
      <c r="AO57" s="72">
        <v>0</v>
      </c>
      <c r="AP57" s="72">
        <v>0</v>
      </c>
      <c r="AQ57" s="81">
        <v>0</v>
      </c>
      <c r="AR57" s="81">
        <v>0</v>
      </c>
      <c r="AS57" s="72">
        <v>0</v>
      </c>
      <c r="AT57" s="72">
        <v>0</v>
      </c>
    </row>
    <row r="58" spans="1:46" s="47" customFormat="1" ht="12.75" customHeight="1" x14ac:dyDescent="0.2">
      <c r="A58" s="28"/>
      <c r="B58" s="29"/>
      <c r="C58" s="51"/>
      <c r="D58" s="51"/>
      <c r="E58" s="51"/>
      <c r="F58" s="30" t="s">
        <v>2457</v>
      </c>
      <c r="G58" s="30" t="s">
        <v>2332</v>
      </c>
      <c r="H58" s="30" t="s">
        <v>2424</v>
      </c>
      <c r="I58" s="30" t="s">
        <v>2236</v>
      </c>
      <c r="J58" s="31" t="s">
        <v>2258</v>
      </c>
      <c r="K58" s="167">
        <v>100</v>
      </c>
      <c r="L58" s="34">
        <v>100</v>
      </c>
      <c r="M58" s="32">
        <v>100</v>
      </c>
      <c r="N58" s="34">
        <v>100</v>
      </c>
      <c r="O58" s="34">
        <v>100</v>
      </c>
      <c r="P58" s="34">
        <v>100</v>
      </c>
      <c r="Q58" s="34">
        <v>25</v>
      </c>
      <c r="R58" s="34">
        <v>100</v>
      </c>
      <c r="S58" s="34">
        <v>0</v>
      </c>
      <c r="T58" s="34">
        <v>100</v>
      </c>
      <c r="U58" s="34">
        <v>0</v>
      </c>
      <c r="V58" s="35">
        <f>+AVERAGE(M58,O58,Q58,0,0)</f>
        <v>45</v>
      </c>
      <c r="W58" s="86">
        <f t="shared" si="6"/>
        <v>0.45</v>
      </c>
      <c r="X58" s="90">
        <v>25</v>
      </c>
      <c r="Y58" s="90"/>
      <c r="Z58" s="90"/>
      <c r="AA58" s="48">
        <v>0</v>
      </c>
      <c r="AB58" s="48"/>
      <c r="AC58" s="48"/>
      <c r="AD58" s="48">
        <v>0</v>
      </c>
      <c r="AE58" s="48"/>
      <c r="AF58" s="48"/>
      <c r="AG58" s="48">
        <v>0</v>
      </c>
      <c r="AH58" s="48"/>
      <c r="AI58" s="48"/>
      <c r="AJ58" s="71">
        <f t="shared" si="9"/>
        <v>25</v>
      </c>
      <c r="AK58" s="41">
        <f t="shared" si="10"/>
        <v>0.25</v>
      </c>
      <c r="AL58" s="43"/>
      <c r="AM58" s="43"/>
      <c r="AN58" s="43"/>
      <c r="AO58" s="72">
        <v>20166</v>
      </c>
      <c r="AP58" s="72">
        <v>10404</v>
      </c>
      <c r="AQ58" s="81">
        <v>49114695513</v>
      </c>
      <c r="AR58" s="81">
        <v>42169835151</v>
      </c>
      <c r="AS58" s="72">
        <v>10190</v>
      </c>
      <c r="AT58" s="72">
        <v>328</v>
      </c>
    </row>
    <row r="59" spans="1:46" s="47" customFormat="1" ht="12.75" customHeight="1" x14ac:dyDescent="0.2">
      <c r="A59" s="28"/>
      <c r="B59" s="29"/>
      <c r="C59" s="51" t="s">
        <v>2272</v>
      </c>
      <c r="D59" s="51" t="s">
        <v>2429</v>
      </c>
      <c r="E59" s="51" t="s">
        <v>2394</v>
      </c>
      <c r="F59" s="51" t="s">
        <v>2327</v>
      </c>
      <c r="G59" s="30" t="s">
        <v>2328</v>
      </c>
      <c r="H59" s="51" t="s">
        <v>2337</v>
      </c>
      <c r="I59" s="30" t="s">
        <v>2389</v>
      </c>
      <c r="J59" s="31" t="s">
        <v>2259</v>
      </c>
      <c r="K59" s="167">
        <v>100</v>
      </c>
      <c r="L59" s="34">
        <v>20</v>
      </c>
      <c r="M59" s="32">
        <v>20</v>
      </c>
      <c r="N59" s="34">
        <v>40</v>
      </c>
      <c r="O59" s="34">
        <v>40</v>
      </c>
      <c r="P59" s="34">
        <v>60</v>
      </c>
      <c r="Q59" s="34">
        <v>40.25</v>
      </c>
      <c r="R59" s="34">
        <v>80</v>
      </c>
      <c r="S59" s="34">
        <v>0</v>
      </c>
      <c r="T59" s="34">
        <v>100</v>
      </c>
      <c r="U59" s="34">
        <v>0</v>
      </c>
      <c r="V59" s="89">
        <f>+Q59</f>
        <v>40.25</v>
      </c>
      <c r="W59" s="36">
        <f t="shared" si="6"/>
        <v>0.40250000000000002</v>
      </c>
      <c r="X59" s="90">
        <v>40.25</v>
      </c>
      <c r="Y59" s="90"/>
      <c r="Z59" s="90"/>
      <c r="AA59" s="48">
        <v>0</v>
      </c>
      <c r="AB59" s="48"/>
      <c r="AC59" s="48"/>
      <c r="AD59" s="48">
        <v>0</v>
      </c>
      <c r="AE59" s="48"/>
      <c r="AF59" s="48"/>
      <c r="AG59" s="48">
        <v>0</v>
      </c>
      <c r="AH59" s="48"/>
      <c r="AI59" s="48"/>
      <c r="AJ59" s="71">
        <f t="shared" si="9"/>
        <v>40.25</v>
      </c>
      <c r="AK59" s="41">
        <f t="shared" si="10"/>
        <v>0.67083333333333328</v>
      </c>
      <c r="AL59" s="43" t="s">
        <v>2525</v>
      </c>
      <c r="AM59" s="43" t="s">
        <v>2526</v>
      </c>
      <c r="AN59" s="43" t="s">
        <v>2527</v>
      </c>
      <c r="AO59" s="72">
        <v>0</v>
      </c>
      <c r="AP59" s="72">
        <v>0</v>
      </c>
      <c r="AQ59" s="81">
        <v>164368030</v>
      </c>
      <c r="AR59" s="81">
        <v>164089227</v>
      </c>
      <c r="AS59" s="72">
        <v>700</v>
      </c>
      <c r="AT59" s="72">
        <v>64</v>
      </c>
    </row>
    <row r="60" spans="1:46" s="47" customFormat="1" ht="12.75" customHeight="1" x14ac:dyDescent="0.2">
      <c r="A60" s="28"/>
      <c r="B60" s="29"/>
      <c r="C60" s="51"/>
      <c r="D60" s="51"/>
      <c r="E60" s="51"/>
      <c r="F60" s="51"/>
      <c r="G60" s="30" t="s">
        <v>2328</v>
      </c>
      <c r="H60" s="51"/>
      <c r="I60" s="30" t="s">
        <v>2235</v>
      </c>
      <c r="J60" s="31" t="s">
        <v>2258</v>
      </c>
      <c r="K60" s="167">
        <v>1</v>
      </c>
      <c r="L60" s="34">
        <v>1</v>
      </c>
      <c r="M60" s="32">
        <v>1</v>
      </c>
      <c r="N60" s="34">
        <v>1</v>
      </c>
      <c r="O60" s="34">
        <v>1</v>
      </c>
      <c r="P60" s="34">
        <v>1</v>
      </c>
      <c r="Q60" s="34">
        <v>0.41</v>
      </c>
      <c r="R60" s="34">
        <v>1</v>
      </c>
      <c r="S60" s="34">
        <v>0</v>
      </c>
      <c r="T60" s="34">
        <v>1</v>
      </c>
      <c r="U60" s="34">
        <v>0</v>
      </c>
      <c r="V60" s="35">
        <f>+AVERAGE(M60,O60,Q60,0,0)</f>
        <v>0.48200000000000004</v>
      </c>
      <c r="W60" s="36">
        <f>+V60/K60</f>
        <v>0.48200000000000004</v>
      </c>
      <c r="X60" s="90">
        <v>0.41</v>
      </c>
      <c r="Y60" s="90"/>
      <c r="Z60" s="90"/>
      <c r="AA60" s="48">
        <v>0</v>
      </c>
      <c r="AB60" s="48"/>
      <c r="AC60" s="48"/>
      <c r="AD60" s="48">
        <v>0</v>
      </c>
      <c r="AE60" s="48"/>
      <c r="AF60" s="48"/>
      <c r="AG60" s="48">
        <v>0</v>
      </c>
      <c r="AH60" s="48"/>
      <c r="AI60" s="48"/>
      <c r="AJ60" s="71">
        <f t="shared" si="9"/>
        <v>0.41</v>
      </c>
      <c r="AK60" s="61">
        <f t="shared" si="10"/>
        <v>0.41</v>
      </c>
      <c r="AL60" s="43"/>
      <c r="AM60" s="43"/>
      <c r="AN60" s="43"/>
      <c r="AO60" s="72">
        <v>2224</v>
      </c>
      <c r="AP60" s="72">
        <v>2224</v>
      </c>
      <c r="AQ60" s="81">
        <v>1542789535</v>
      </c>
      <c r="AR60" s="81">
        <v>1542789533</v>
      </c>
      <c r="AS60" s="72">
        <v>1361</v>
      </c>
      <c r="AT60" s="72">
        <v>854</v>
      </c>
    </row>
    <row r="61" spans="1:46" s="47" customFormat="1" ht="12.75" customHeight="1" x14ac:dyDescent="0.2">
      <c r="A61" s="28"/>
      <c r="B61" s="29"/>
      <c r="C61" s="30" t="s">
        <v>2272</v>
      </c>
      <c r="D61" s="30" t="s">
        <v>2429</v>
      </c>
      <c r="E61" s="30" t="s">
        <v>2394</v>
      </c>
      <c r="F61" s="30" t="s">
        <v>2384</v>
      </c>
      <c r="G61" s="30" t="s">
        <v>2383</v>
      </c>
      <c r="H61" s="30" t="s">
        <v>2385</v>
      </c>
      <c r="I61" s="30" t="s">
        <v>2236</v>
      </c>
      <c r="J61" s="31" t="s">
        <v>2258</v>
      </c>
      <c r="K61" s="167">
        <v>100</v>
      </c>
      <c r="L61" s="34">
        <v>100</v>
      </c>
      <c r="M61" s="32">
        <v>100</v>
      </c>
      <c r="N61" s="34">
        <v>100</v>
      </c>
      <c r="O61" s="34">
        <v>100</v>
      </c>
      <c r="P61" s="34">
        <v>100</v>
      </c>
      <c r="Q61" s="34">
        <v>25</v>
      </c>
      <c r="R61" s="34">
        <v>100</v>
      </c>
      <c r="S61" s="34">
        <v>0</v>
      </c>
      <c r="T61" s="34">
        <v>100</v>
      </c>
      <c r="U61" s="34">
        <v>0</v>
      </c>
      <c r="V61" s="35">
        <f>+AVERAGE(M61,O61,Q61,0,0)</f>
        <v>45</v>
      </c>
      <c r="W61" s="86">
        <f t="shared" si="6"/>
        <v>0.45</v>
      </c>
      <c r="X61" s="90">
        <v>25</v>
      </c>
      <c r="Y61" s="90"/>
      <c r="Z61" s="90"/>
      <c r="AA61" s="48">
        <v>0</v>
      </c>
      <c r="AB61" s="48"/>
      <c r="AC61" s="48"/>
      <c r="AD61" s="48">
        <v>0</v>
      </c>
      <c r="AE61" s="48"/>
      <c r="AF61" s="48"/>
      <c r="AG61" s="48">
        <v>0</v>
      </c>
      <c r="AH61" s="48"/>
      <c r="AI61" s="48"/>
      <c r="AJ61" s="71">
        <f t="shared" si="9"/>
        <v>25</v>
      </c>
      <c r="AK61" s="41">
        <f t="shared" si="10"/>
        <v>0.25</v>
      </c>
      <c r="AL61" s="31" t="s">
        <v>2505</v>
      </c>
      <c r="AM61" s="31" t="s">
        <v>2507</v>
      </c>
      <c r="AN61" s="31" t="s">
        <v>2506</v>
      </c>
      <c r="AO61" s="72">
        <v>18946</v>
      </c>
      <c r="AP61" s="72">
        <v>18852</v>
      </c>
      <c r="AQ61" s="81">
        <v>101460657421</v>
      </c>
      <c r="AR61" s="81">
        <v>90384116245</v>
      </c>
      <c r="AS61" s="72">
        <v>29366</v>
      </c>
      <c r="AT61" s="72">
        <v>767</v>
      </c>
    </row>
    <row r="62" spans="1:46" s="47" customFormat="1" ht="12.75" customHeight="1" x14ac:dyDescent="0.2">
      <c r="A62" s="28"/>
      <c r="B62" s="29"/>
      <c r="C62" s="51" t="s">
        <v>2272</v>
      </c>
      <c r="D62" s="51" t="s">
        <v>2429</v>
      </c>
      <c r="E62" s="51" t="s">
        <v>2394</v>
      </c>
      <c r="F62" s="30" t="s">
        <v>2350</v>
      </c>
      <c r="G62" s="30" t="s">
        <v>2391</v>
      </c>
      <c r="H62" s="30" t="s">
        <v>2392</v>
      </c>
      <c r="I62" s="30" t="s">
        <v>2269</v>
      </c>
      <c r="J62" s="31" t="s">
        <v>2261</v>
      </c>
      <c r="K62" s="165">
        <f>+L62+N62+P62+R62+T62</f>
        <v>1</v>
      </c>
      <c r="L62" s="34">
        <v>0</v>
      </c>
      <c r="M62" s="32">
        <f t="shared" si="7"/>
        <v>0</v>
      </c>
      <c r="N62" s="34">
        <v>0</v>
      </c>
      <c r="O62" s="34">
        <v>0</v>
      </c>
      <c r="P62" s="34">
        <v>0.3</v>
      </c>
      <c r="Q62" s="34">
        <v>0</v>
      </c>
      <c r="R62" s="34">
        <v>0.7</v>
      </c>
      <c r="S62" s="34">
        <v>0</v>
      </c>
      <c r="T62" s="34">
        <v>0</v>
      </c>
      <c r="U62" s="34">
        <v>0</v>
      </c>
      <c r="V62" s="66">
        <f>+M62+O62+Q62+S62+U62</f>
        <v>0</v>
      </c>
      <c r="W62" s="36">
        <f>+V62/K62</f>
        <v>0</v>
      </c>
      <c r="X62" s="48">
        <v>0</v>
      </c>
      <c r="Y62" s="48"/>
      <c r="Z62" s="48"/>
      <c r="AA62" s="48">
        <v>0</v>
      </c>
      <c r="AB62" s="48"/>
      <c r="AC62" s="48"/>
      <c r="AD62" s="48">
        <v>0</v>
      </c>
      <c r="AE62" s="48"/>
      <c r="AF62" s="48"/>
      <c r="AG62" s="48">
        <v>0</v>
      </c>
      <c r="AH62" s="48"/>
      <c r="AI62" s="48"/>
      <c r="AJ62" s="49">
        <v>0</v>
      </c>
      <c r="AK62" s="41">
        <f>AJ62/P62</f>
        <v>0</v>
      </c>
      <c r="AL62" s="42" t="s">
        <v>2502</v>
      </c>
      <c r="AM62" s="43" t="s">
        <v>2503</v>
      </c>
      <c r="AN62" s="43" t="s">
        <v>2504</v>
      </c>
      <c r="AO62" s="72">
        <v>0</v>
      </c>
      <c r="AP62" s="72">
        <v>0</v>
      </c>
      <c r="AQ62" s="72">
        <v>0</v>
      </c>
      <c r="AR62" s="72">
        <v>0</v>
      </c>
      <c r="AS62" s="72">
        <v>0</v>
      </c>
      <c r="AT62" s="72">
        <v>0</v>
      </c>
    </row>
    <row r="63" spans="1:46" s="47" customFormat="1" ht="12.75" customHeight="1" x14ac:dyDescent="0.2">
      <c r="A63" s="28"/>
      <c r="B63" s="29"/>
      <c r="C63" s="51"/>
      <c r="D63" s="51"/>
      <c r="E63" s="51"/>
      <c r="F63" s="30" t="s">
        <v>2458</v>
      </c>
      <c r="G63" s="30" t="s">
        <v>2391</v>
      </c>
      <c r="H63" s="30" t="s">
        <v>2425</v>
      </c>
      <c r="I63" s="30" t="s">
        <v>2236</v>
      </c>
      <c r="J63" s="31" t="s">
        <v>2258</v>
      </c>
      <c r="K63" s="167">
        <v>100</v>
      </c>
      <c r="L63" s="34">
        <v>100</v>
      </c>
      <c r="M63" s="32">
        <v>100</v>
      </c>
      <c r="N63" s="34">
        <v>100</v>
      </c>
      <c r="O63" s="34">
        <v>100</v>
      </c>
      <c r="P63" s="34">
        <v>100</v>
      </c>
      <c r="Q63" s="34">
        <v>25</v>
      </c>
      <c r="R63" s="34">
        <v>100</v>
      </c>
      <c r="S63" s="34">
        <v>0</v>
      </c>
      <c r="T63" s="34">
        <v>100</v>
      </c>
      <c r="U63" s="34">
        <v>0</v>
      </c>
      <c r="V63" s="35">
        <f>+AVERAGE(M63,O63,Q63,0,0)</f>
        <v>45</v>
      </c>
      <c r="W63" s="86">
        <f>+V63/K63</f>
        <v>0.45</v>
      </c>
      <c r="X63" s="90">
        <v>25</v>
      </c>
      <c r="Y63" s="90"/>
      <c r="Z63" s="90"/>
      <c r="AA63" s="48">
        <v>0</v>
      </c>
      <c r="AB63" s="48"/>
      <c r="AC63" s="48"/>
      <c r="AD63" s="48">
        <v>0</v>
      </c>
      <c r="AE63" s="48"/>
      <c r="AF63" s="48"/>
      <c r="AG63" s="48">
        <v>0</v>
      </c>
      <c r="AH63" s="48"/>
      <c r="AI63" s="48"/>
      <c r="AJ63" s="71">
        <f>+X63</f>
        <v>25</v>
      </c>
      <c r="AK63" s="41">
        <f>AJ63/P63</f>
        <v>0.25</v>
      </c>
      <c r="AL63" s="50"/>
      <c r="AM63" s="43"/>
      <c r="AN63" s="43"/>
      <c r="AO63" s="72">
        <v>0</v>
      </c>
      <c r="AP63" s="72">
        <v>0</v>
      </c>
      <c r="AQ63" s="81">
        <v>171233460</v>
      </c>
      <c r="AR63" s="81">
        <v>171233460</v>
      </c>
      <c r="AS63" s="72">
        <v>25194</v>
      </c>
      <c r="AT63" s="72">
        <v>194</v>
      </c>
    </row>
    <row r="64" spans="1:46" s="47" customFormat="1" ht="12.75" customHeight="1" x14ac:dyDescent="0.2">
      <c r="A64" s="28"/>
      <c r="B64" s="29"/>
      <c r="C64" s="30" t="s">
        <v>2272</v>
      </c>
      <c r="D64" s="30" t="s">
        <v>2429</v>
      </c>
      <c r="E64" s="30" t="s">
        <v>2433</v>
      </c>
      <c r="F64" s="65" t="s">
        <v>2436</v>
      </c>
      <c r="G64" s="30" t="s">
        <v>2432</v>
      </c>
      <c r="H64" s="30" t="s">
        <v>2434</v>
      </c>
      <c r="I64" s="30" t="s">
        <v>2390</v>
      </c>
      <c r="J64" s="31" t="s">
        <v>2259</v>
      </c>
      <c r="K64" s="165">
        <f>100</f>
        <v>100</v>
      </c>
      <c r="L64" s="34">
        <v>0</v>
      </c>
      <c r="M64" s="32">
        <v>0</v>
      </c>
      <c r="N64" s="34">
        <v>23</v>
      </c>
      <c r="O64" s="34">
        <v>23</v>
      </c>
      <c r="P64" s="34">
        <v>79</v>
      </c>
      <c r="Q64" s="34">
        <v>30.49</v>
      </c>
      <c r="R64" s="34">
        <v>100</v>
      </c>
      <c r="S64" s="34">
        <v>0</v>
      </c>
      <c r="T64" s="34">
        <v>0</v>
      </c>
      <c r="U64" s="34">
        <v>0</v>
      </c>
      <c r="V64" s="66">
        <v>30.49</v>
      </c>
      <c r="W64" s="36">
        <f>+Q64/K64</f>
        <v>0.3049</v>
      </c>
      <c r="X64" s="90">
        <v>30.49</v>
      </c>
      <c r="Y64" s="90"/>
      <c r="Z64" s="90"/>
      <c r="AA64" s="48">
        <v>0</v>
      </c>
      <c r="AB64" s="48"/>
      <c r="AC64" s="48"/>
      <c r="AD64" s="48">
        <v>0</v>
      </c>
      <c r="AE64" s="48"/>
      <c r="AF64" s="48"/>
      <c r="AG64" s="48">
        <v>0</v>
      </c>
      <c r="AH64" s="48"/>
      <c r="AI64" s="48"/>
      <c r="AJ64" s="71">
        <f>MAX(X64:AI64)</f>
        <v>30.49</v>
      </c>
      <c r="AK64" s="41">
        <f>+AJ64/P64</f>
        <v>0.38594936708860755</v>
      </c>
      <c r="AL64" s="31" t="s">
        <v>2593</v>
      </c>
      <c r="AM64" s="31" t="s">
        <v>2496</v>
      </c>
      <c r="AN64" s="31"/>
      <c r="AO64" s="72">
        <v>0</v>
      </c>
      <c r="AP64" s="72">
        <v>0</v>
      </c>
      <c r="AQ64" s="81">
        <v>45320000000</v>
      </c>
      <c r="AR64" s="81">
        <v>45075216945</v>
      </c>
      <c r="AS64" s="72">
        <v>33840</v>
      </c>
      <c r="AT64" s="72">
        <v>33633</v>
      </c>
    </row>
    <row r="65" spans="1:49" s="47" customFormat="1" ht="12.75" customHeight="1" x14ac:dyDescent="0.2">
      <c r="A65" s="28"/>
      <c r="B65" s="29"/>
      <c r="C65" s="30" t="s">
        <v>2272</v>
      </c>
      <c r="D65" s="30" t="s">
        <v>2429</v>
      </c>
      <c r="E65" s="30" t="s">
        <v>2433</v>
      </c>
      <c r="F65" s="65" t="s">
        <v>2437</v>
      </c>
      <c r="G65" s="30" t="s">
        <v>2462</v>
      </c>
      <c r="H65" s="30" t="s">
        <v>2435</v>
      </c>
      <c r="I65" s="30" t="s">
        <v>2390</v>
      </c>
      <c r="J65" s="31" t="s">
        <v>2259</v>
      </c>
      <c r="K65" s="165">
        <v>60</v>
      </c>
      <c r="L65" s="34">
        <v>20.28</v>
      </c>
      <c r="M65" s="32">
        <v>19.91</v>
      </c>
      <c r="N65" s="34">
        <v>23.69</v>
      </c>
      <c r="O65" s="34">
        <v>23.69</v>
      </c>
      <c r="P65" s="34">
        <v>33.729999999999997</v>
      </c>
      <c r="Q65" s="34">
        <v>26.46</v>
      </c>
      <c r="R65" s="34">
        <v>40.08</v>
      </c>
      <c r="S65" s="34">
        <v>0</v>
      </c>
      <c r="T65" s="34">
        <v>60</v>
      </c>
      <c r="U65" s="34">
        <v>0</v>
      </c>
      <c r="V65" s="89">
        <f>+Q65</f>
        <v>26.46</v>
      </c>
      <c r="W65" s="36">
        <f>+(V65-19.44)/(60-19.44)</f>
        <v>0.17307692307692304</v>
      </c>
      <c r="X65" s="90">
        <v>26.46</v>
      </c>
      <c r="Y65" s="90"/>
      <c r="Z65" s="90"/>
      <c r="AA65" s="48">
        <v>0</v>
      </c>
      <c r="AB65" s="48"/>
      <c r="AC65" s="48"/>
      <c r="AD65" s="48">
        <v>0</v>
      </c>
      <c r="AE65" s="48"/>
      <c r="AF65" s="48"/>
      <c r="AG65" s="48">
        <v>0</v>
      </c>
      <c r="AH65" s="48"/>
      <c r="AI65" s="48"/>
      <c r="AJ65" s="71">
        <f>+X65</f>
        <v>26.46</v>
      </c>
      <c r="AK65" s="41">
        <f>+(AJ65-23.69)/(33.73-23.69)</f>
        <v>0.27589641434262957</v>
      </c>
      <c r="AL65" s="31" t="s">
        <v>2594</v>
      </c>
      <c r="AM65" s="31" t="s">
        <v>2496</v>
      </c>
      <c r="AN65" s="31"/>
      <c r="AO65" s="72">
        <v>432945</v>
      </c>
      <c r="AP65" s="72">
        <v>171196</v>
      </c>
      <c r="AQ65" s="81">
        <v>614939636004</v>
      </c>
      <c r="AR65" s="81">
        <v>609107500080</v>
      </c>
      <c r="AS65" s="72">
        <v>531496</v>
      </c>
      <c r="AT65" s="72">
        <v>486879</v>
      </c>
    </row>
    <row r="66" spans="1:49" s="47" customFormat="1" ht="12.75" customHeight="1" x14ac:dyDescent="0.2">
      <c r="A66" s="28"/>
      <c r="B66" s="29"/>
      <c r="C66" s="30" t="s">
        <v>2271</v>
      </c>
      <c r="D66" s="30" t="s">
        <v>2430</v>
      </c>
      <c r="E66" s="30" t="s">
        <v>2397</v>
      </c>
      <c r="F66" s="30" t="s">
        <v>2398</v>
      </c>
      <c r="G66" s="30" t="s">
        <v>2399</v>
      </c>
      <c r="H66" s="30" t="s">
        <v>2400</v>
      </c>
      <c r="I66" s="30" t="s">
        <v>2235</v>
      </c>
      <c r="J66" s="31" t="s">
        <v>2259</v>
      </c>
      <c r="K66" s="167">
        <v>4</v>
      </c>
      <c r="L66" s="34">
        <v>0</v>
      </c>
      <c r="M66" s="32">
        <v>0</v>
      </c>
      <c r="N66" s="34">
        <v>3</v>
      </c>
      <c r="O66" s="34">
        <v>3</v>
      </c>
      <c r="P66" s="34">
        <v>1</v>
      </c>
      <c r="Q66" s="34">
        <v>3</v>
      </c>
      <c r="R66" s="34">
        <v>0</v>
      </c>
      <c r="S66" s="34">
        <v>0</v>
      </c>
      <c r="T66" s="34">
        <v>0</v>
      </c>
      <c r="U66" s="34">
        <v>0</v>
      </c>
      <c r="V66" s="89">
        <f>+M66+O66</f>
        <v>3</v>
      </c>
      <c r="W66" s="88">
        <f>+(O66-1)/(K66-1)</f>
        <v>0.66666666666666663</v>
      </c>
      <c r="X66" s="90">
        <v>3</v>
      </c>
      <c r="Y66" s="90"/>
      <c r="Z66" s="90"/>
      <c r="AA66" s="48">
        <v>0</v>
      </c>
      <c r="AB66" s="48"/>
      <c r="AC66" s="48"/>
      <c r="AD66" s="48">
        <v>0</v>
      </c>
      <c r="AE66" s="48"/>
      <c r="AF66" s="48"/>
      <c r="AG66" s="48">
        <v>0</v>
      </c>
      <c r="AH66" s="48"/>
      <c r="AI66" s="48"/>
      <c r="AJ66" s="71">
        <f>+AA66+X66+AD66+AG66</f>
        <v>3</v>
      </c>
      <c r="AK66" s="61">
        <f>+AJ66/N66</f>
        <v>1</v>
      </c>
      <c r="AL66" s="31" t="s">
        <v>2539</v>
      </c>
      <c r="AM66" s="42" t="s">
        <v>2540</v>
      </c>
      <c r="AN66" s="59" t="s">
        <v>2541</v>
      </c>
      <c r="AO66" s="44">
        <v>1124</v>
      </c>
      <c r="AP66" s="44">
        <v>1124</v>
      </c>
      <c r="AQ66" s="83">
        <v>499884520</v>
      </c>
      <c r="AR66" s="83">
        <v>499884520</v>
      </c>
      <c r="AS66" s="44">
        <v>775</v>
      </c>
      <c r="AT66" s="44">
        <v>425</v>
      </c>
    </row>
    <row r="67" spans="1:49" s="47" customFormat="1" ht="12.75" customHeight="1" x14ac:dyDescent="0.2">
      <c r="A67" s="28"/>
      <c r="B67" s="29"/>
      <c r="C67" s="30" t="s">
        <v>2271</v>
      </c>
      <c r="D67" s="30" t="s">
        <v>2430</v>
      </c>
      <c r="E67" s="30" t="s">
        <v>2397</v>
      </c>
      <c r="F67" s="30" t="s">
        <v>2486</v>
      </c>
      <c r="G67" s="30" t="s">
        <v>2399</v>
      </c>
      <c r="H67" s="30" t="s">
        <v>2477</v>
      </c>
      <c r="I67" s="30" t="s">
        <v>2235</v>
      </c>
      <c r="J67" s="31" t="s">
        <v>2261</v>
      </c>
      <c r="K67" s="167">
        <v>100</v>
      </c>
      <c r="L67" s="34">
        <v>0</v>
      </c>
      <c r="M67" s="32">
        <v>0</v>
      </c>
      <c r="N67" s="34">
        <v>45</v>
      </c>
      <c r="O67" s="34">
        <v>45</v>
      </c>
      <c r="P67" s="34">
        <v>20</v>
      </c>
      <c r="Q67" s="34">
        <v>8.8000000000000007</v>
      </c>
      <c r="R67" s="34">
        <v>35</v>
      </c>
      <c r="S67" s="34">
        <v>0</v>
      </c>
      <c r="T67" s="34">
        <v>0</v>
      </c>
      <c r="U67" s="34">
        <v>0</v>
      </c>
      <c r="V67" s="89">
        <f>+M67+O67</f>
        <v>45</v>
      </c>
      <c r="W67" s="86">
        <f>+O67/K67</f>
        <v>0.45</v>
      </c>
      <c r="X67" s="90">
        <v>8.8000000000000007</v>
      </c>
      <c r="Y67" s="90"/>
      <c r="Z67" s="90"/>
      <c r="AA67" s="48">
        <v>0</v>
      </c>
      <c r="AB67" s="48"/>
      <c r="AC67" s="48"/>
      <c r="AD67" s="48">
        <v>0</v>
      </c>
      <c r="AE67" s="48"/>
      <c r="AF67" s="48"/>
      <c r="AG67" s="48">
        <v>0</v>
      </c>
      <c r="AH67" s="48"/>
      <c r="AI67" s="48"/>
      <c r="AJ67" s="71">
        <f>+AA67+X67+AD67+AG67</f>
        <v>8.8000000000000007</v>
      </c>
      <c r="AK67" s="85">
        <f>+AJ67/N67</f>
        <v>0.19555555555555557</v>
      </c>
      <c r="AL67" s="31" t="s">
        <v>2537</v>
      </c>
      <c r="AM67" s="50"/>
      <c r="AN67" s="59" t="s">
        <v>2538</v>
      </c>
      <c r="AO67" s="44"/>
      <c r="AP67" s="44"/>
      <c r="AQ67" s="83"/>
      <c r="AR67" s="83"/>
      <c r="AS67" s="44"/>
      <c r="AT67" s="44"/>
      <c r="AU67" s="99"/>
      <c r="AV67" s="100"/>
      <c r="AW67" s="101"/>
    </row>
    <row r="68" spans="1:49" s="47" customFormat="1" ht="12.75" customHeight="1" x14ac:dyDescent="0.2">
      <c r="A68" s="28"/>
      <c r="B68" s="29"/>
      <c r="C68" s="30" t="s">
        <v>2439</v>
      </c>
      <c r="D68" s="30" t="s">
        <v>2430</v>
      </c>
      <c r="E68" s="30" t="s">
        <v>2397</v>
      </c>
      <c r="F68" s="30" t="s">
        <v>2469</v>
      </c>
      <c r="G68" s="30" t="s">
        <v>2468</v>
      </c>
      <c r="H68" s="30" t="s">
        <v>2460</v>
      </c>
      <c r="I68" s="30" t="s">
        <v>2235</v>
      </c>
      <c r="J68" s="30" t="s">
        <v>2260</v>
      </c>
      <c r="K68" s="167">
        <v>15</v>
      </c>
      <c r="L68" s="34">
        <v>26</v>
      </c>
      <c r="M68" s="32">
        <v>26</v>
      </c>
      <c r="N68" s="34">
        <v>25</v>
      </c>
      <c r="O68" s="34">
        <v>26</v>
      </c>
      <c r="P68" s="34">
        <v>23</v>
      </c>
      <c r="Q68" s="34">
        <v>26</v>
      </c>
      <c r="R68" s="34">
        <v>20</v>
      </c>
      <c r="S68" s="34">
        <v>0</v>
      </c>
      <c r="T68" s="34">
        <v>15</v>
      </c>
      <c r="U68" s="34">
        <v>0</v>
      </c>
      <c r="V68" s="89">
        <v>0</v>
      </c>
      <c r="W68" s="36">
        <v>0</v>
      </c>
      <c r="X68" s="90">
        <v>26</v>
      </c>
      <c r="Y68" s="90"/>
      <c r="Z68" s="90"/>
      <c r="AA68" s="48">
        <v>0</v>
      </c>
      <c r="AB68" s="48"/>
      <c r="AC68" s="48"/>
      <c r="AD68" s="48">
        <v>0</v>
      </c>
      <c r="AE68" s="48"/>
      <c r="AF68" s="48"/>
      <c r="AG68" s="48">
        <v>0</v>
      </c>
      <c r="AH68" s="48"/>
      <c r="AI68" s="48"/>
      <c r="AJ68" s="102">
        <f>+X68</f>
        <v>26</v>
      </c>
      <c r="AK68" s="85">
        <v>0</v>
      </c>
      <c r="AL68" s="43" t="s">
        <v>2492</v>
      </c>
      <c r="AM68" s="43" t="s">
        <v>2493</v>
      </c>
      <c r="AN68" s="43" t="s">
        <v>2595</v>
      </c>
      <c r="AO68" s="44">
        <v>2850</v>
      </c>
      <c r="AP68" s="44">
        <v>2850</v>
      </c>
      <c r="AQ68" s="96">
        <v>4342833460</v>
      </c>
      <c r="AR68" s="96">
        <v>4335522833</v>
      </c>
      <c r="AS68" s="44">
        <v>2937</v>
      </c>
      <c r="AT68" s="44">
        <v>1651</v>
      </c>
    </row>
    <row r="69" spans="1:49" s="47" customFormat="1" ht="12.75" customHeight="1" x14ac:dyDescent="0.2">
      <c r="A69" s="28"/>
      <c r="B69" s="29"/>
      <c r="C69" s="30"/>
      <c r="D69" s="30" t="s">
        <v>2430</v>
      </c>
      <c r="E69" s="30" t="s">
        <v>2397</v>
      </c>
      <c r="F69" s="30" t="s">
        <v>2459</v>
      </c>
      <c r="G69" s="30" t="s">
        <v>2468</v>
      </c>
      <c r="H69" s="30" t="s">
        <v>2461</v>
      </c>
      <c r="I69" s="30" t="s">
        <v>2235</v>
      </c>
      <c r="J69" s="31" t="s">
        <v>2260</v>
      </c>
      <c r="K69" s="167">
        <v>15</v>
      </c>
      <c r="L69" s="34">
        <v>24</v>
      </c>
      <c r="M69" s="32">
        <v>24</v>
      </c>
      <c r="N69" s="34">
        <v>23.5</v>
      </c>
      <c r="O69" s="34">
        <v>24</v>
      </c>
      <c r="P69" s="34">
        <v>23</v>
      </c>
      <c r="Q69" s="34">
        <v>24</v>
      </c>
      <c r="R69" s="34">
        <v>20</v>
      </c>
      <c r="S69" s="34">
        <v>0</v>
      </c>
      <c r="T69" s="34">
        <v>15</v>
      </c>
      <c r="U69" s="34">
        <v>0</v>
      </c>
      <c r="V69" s="89">
        <v>0</v>
      </c>
      <c r="W69" s="36">
        <v>0</v>
      </c>
      <c r="X69" s="90">
        <v>24</v>
      </c>
      <c r="Y69" s="90"/>
      <c r="Z69" s="90"/>
      <c r="AA69" s="48">
        <v>0</v>
      </c>
      <c r="AB69" s="48"/>
      <c r="AC69" s="48"/>
      <c r="AD69" s="48">
        <v>0</v>
      </c>
      <c r="AE69" s="48"/>
      <c r="AF69" s="48"/>
      <c r="AG69" s="48">
        <v>0</v>
      </c>
      <c r="AH69" s="48"/>
      <c r="AI69" s="48"/>
      <c r="AJ69" s="102">
        <f>+X69</f>
        <v>24</v>
      </c>
      <c r="AK69" s="85">
        <v>0</v>
      </c>
      <c r="AL69" s="43"/>
      <c r="AM69" s="43"/>
      <c r="AN69" s="43"/>
      <c r="AO69" s="44"/>
      <c r="AP69" s="44"/>
      <c r="AQ69" s="96"/>
      <c r="AR69" s="96"/>
      <c r="AS69" s="44"/>
      <c r="AT69" s="44"/>
    </row>
    <row r="70" spans="1:49" s="47" customFormat="1" ht="12.75" customHeight="1" x14ac:dyDescent="0.2">
      <c r="A70" s="28"/>
      <c r="B70" s="29"/>
      <c r="C70" s="30" t="s">
        <v>2395</v>
      </c>
      <c r="D70" s="30" t="s">
        <v>2431</v>
      </c>
      <c r="E70" s="30" t="s">
        <v>2402</v>
      </c>
      <c r="F70" s="30" t="s">
        <v>2401</v>
      </c>
      <c r="G70" s="30" t="s">
        <v>2405</v>
      </c>
      <c r="H70" s="30" t="s">
        <v>2403</v>
      </c>
      <c r="I70" s="30" t="s">
        <v>2235</v>
      </c>
      <c r="J70" s="31" t="s">
        <v>2259</v>
      </c>
      <c r="K70" s="165">
        <v>1320551</v>
      </c>
      <c r="L70" s="34">
        <v>880367</v>
      </c>
      <c r="M70" s="93">
        <v>880367</v>
      </c>
      <c r="N70" s="34">
        <v>880368</v>
      </c>
      <c r="O70" s="34">
        <v>880367</v>
      </c>
      <c r="P70" s="34">
        <v>880368</v>
      </c>
      <c r="Q70" s="34">
        <v>880367</v>
      </c>
      <c r="R70" s="34">
        <v>1320551</v>
      </c>
      <c r="S70" s="34">
        <v>0</v>
      </c>
      <c r="T70" s="34">
        <v>1320551</v>
      </c>
      <c r="U70" s="34">
        <v>0</v>
      </c>
      <c r="V70" s="66">
        <f>+O70</f>
        <v>880367</v>
      </c>
      <c r="W70" s="36">
        <f>+V70/K70</f>
        <v>0.6666664142467803</v>
      </c>
      <c r="X70" s="90">
        <v>880367</v>
      </c>
      <c r="Y70" s="90"/>
      <c r="Z70" s="90"/>
      <c r="AA70" s="48">
        <v>0</v>
      </c>
      <c r="AB70" s="48"/>
      <c r="AC70" s="48"/>
      <c r="AD70" s="48">
        <v>0</v>
      </c>
      <c r="AE70" s="48"/>
      <c r="AF70" s="48"/>
      <c r="AG70" s="48">
        <v>0</v>
      </c>
      <c r="AH70" s="48"/>
      <c r="AI70" s="48"/>
      <c r="AJ70" s="102">
        <f>+AG70+AD70+AA70+X70</f>
        <v>880367</v>
      </c>
      <c r="AK70" s="85">
        <f>+AJ70/N70</f>
        <v>0.99999886411137162</v>
      </c>
      <c r="AL70" s="103" t="s">
        <v>2542</v>
      </c>
      <c r="AM70" s="104" t="s">
        <v>2543</v>
      </c>
      <c r="AN70" s="105" t="s">
        <v>2544</v>
      </c>
      <c r="AO70" s="72">
        <v>418</v>
      </c>
      <c r="AP70" s="72">
        <v>418</v>
      </c>
      <c r="AQ70" s="73">
        <v>3171724313</v>
      </c>
      <c r="AR70" s="73">
        <v>3171724313</v>
      </c>
      <c r="AS70" s="72">
        <v>2842</v>
      </c>
      <c r="AT70" s="72">
        <v>1094</v>
      </c>
    </row>
    <row r="71" spans="1:49" s="47" customFormat="1" ht="12.75" customHeight="1" x14ac:dyDescent="0.2">
      <c r="A71" s="28"/>
      <c r="B71" s="29"/>
      <c r="C71" s="51" t="s">
        <v>2440</v>
      </c>
      <c r="D71" s="51" t="s">
        <v>2431</v>
      </c>
      <c r="E71" s="51" t="s">
        <v>2402</v>
      </c>
      <c r="F71" s="30" t="s">
        <v>2404</v>
      </c>
      <c r="G71" s="30" t="s">
        <v>2463</v>
      </c>
      <c r="H71" s="30" t="s">
        <v>2406</v>
      </c>
      <c r="I71" s="30" t="s">
        <v>2235</v>
      </c>
      <c r="J71" s="31" t="s">
        <v>2259</v>
      </c>
      <c r="K71" s="167">
        <v>6500</v>
      </c>
      <c r="L71" s="34">
        <v>2400</v>
      </c>
      <c r="M71" s="32">
        <v>3586</v>
      </c>
      <c r="N71" s="34">
        <v>4894</v>
      </c>
      <c r="O71" s="34">
        <v>4894</v>
      </c>
      <c r="P71" s="34">
        <v>5500</v>
      </c>
      <c r="Q71" s="34">
        <v>5463</v>
      </c>
      <c r="R71" s="34">
        <v>5900</v>
      </c>
      <c r="S71" s="34">
        <v>0</v>
      </c>
      <c r="T71" s="34">
        <v>6500</v>
      </c>
      <c r="U71" s="34">
        <v>0</v>
      </c>
      <c r="V71" s="89">
        <f>+Q71</f>
        <v>5463</v>
      </c>
      <c r="W71" s="36">
        <f>+(Q71-2112)/(6500-2112)</f>
        <v>0.76367365542388332</v>
      </c>
      <c r="X71" s="90">
        <v>5463</v>
      </c>
      <c r="Y71" s="90"/>
      <c r="Z71" s="90"/>
      <c r="AA71" s="48">
        <v>0</v>
      </c>
      <c r="AB71" s="48"/>
      <c r="AC71" s="48"/>
      <c r="AD71" s="48">
        <v>0</v>
      </c>
      <c r="AE71" s="48"/>
      <c r="AF71" s="48"/>
      <c r="AG71" s="48">
        <v>0</v>
      </c>
      <c r="AH71" s="48"/>
      <c r="AI71" s="48"/>
      <c r="AJ71" s="106">
        <f>X71</f>
        <v>5463</v>
      </c>
      <c r="AK71" s="85">
        <f>+(X71-3586)/(X71-3586)</f>
        <v>1</v>
      </c>
      <c r="AL71" s="107" t="s">
        <v>2545</v>
      </c>
      <c r="AM71" s="108" t="s">
        <v>2546</v>
      </c>
      <c r="AN71" s="109" t="s">
        <v>2547</v>
      </c>
      <c r="AO71" s="44">
        <v>45</v>
      </c>
      <c r="AP71" s="44">
        <v>45</v>
      </c>
      <c r="AQ71" s="96">
        <v>196086823</v>
      </c>
      <c r="AR71" s="96">
        <v>196086823</v>
      </c>
      <c r="AS71" s="44">
        <v>220</v>
      </c>
      <c r="AT71" s="44">
        <v>220</v>
      </c>
    </row>
    <row r="72" spans="1:49" s="47" customFormat="1" ht="12.75" customHeight="1" x14ac:dyDescent="0.2">
      <c r="A72" s="28"/>
      <c r="B72" s="29"/>
      <c r="C72" s="51"/>
      <c r="D72" s="51"/>
      <c r="E72" s="51"/>
      <c r="F72" s="30" t="s">
        <v>2470</v>
      </c>
      <c r="G72" s="30" t="s">
        <v>2463</v>
      </c>
      <c r="H72" s="30" t="s">
        <v>2466</v>
      </c>
      <c r="I72" s="30" t="s">
        <v>2235</v>
      </c>
      <c r="J72" s="31" t="s">
        <v>2261</v>
      </c>
      <c r="K72" s="167">
        <v>20</v>
      </c>
      <c r="L72" s="34">
        <v>0</v>
      </c>
      <c r="M72" s="32">
        <v>0</v>
      </c>
      <c r="N72" s="34">
        <v>4</v>
      </c>
      <c r="O72" s="34">
        <v>4</v>
      </c>
      <c r="P72" s="34">
        <v>0</v>
      </c>
      <c r="Q72" s="34">
        <v>0</v>
      </c>
      <c r="R72" s="34">
        <v>16</v>
      </c>
      <c r="S72" s="34">
        <v>0</v>
      </c>
      <c r="T72" s="34"/>
      <c r="U72" s="34">
        <v>0</v>
      </c>
      <c r="V72" s="89">
        <f>N72+Q72+S72+U72</f>
        <v>4</v>
      </c>
      <c r="W72" s="36">
        <f>V72/K72</f>
        <v>0.2</v>
      </c>
      <c r="X72" s="48">
        <v>0</v>
      </c>
      <c r="Y72" s="48"/>
      <c r="Z72" s="48"/>
      <c r="AA72" s="48">
        <v>0</v>
      </c>
      <c r="AB72" s="48"/>
      <c r="AC72" s="48"/>
      <c r="AD72" s="48">
        <v>0</v>
      </c>
      <c r="AE72" s="48"/>
      <c r="AF72" s="48"/>
      <c r="AG72" s="48">
        <v>0</v>
      </c>
      <c r="AH72" s="48"/>
      <c r="AI72" s="48"/>
      <c r="AJ72" s="49">
        <v>0</v>
      </c>
      <c r="AK72" s="49">
        <v>0</v>
      </c>
      <c r="AL72" s="110"/>
      <c r="AM72" s="111"/>
      <c r="AN72" s="112"/>
      <c r="AO72" s="44"/>
      <c r="AP72" s="44"/>
      <c r="AQ72" s="96"/>
      <c r="AR72" s="96"/>
      <c r="AS72" s="44"/>
      <c r="AT72" s="44"/>
    </row>
    <row r="73" spans="1:49" s="47" customFormat="1" ht="12.75" customHeight="1" x14ac:dyDescent="0.2">
      <c r="A73" s="28"/>
      <c r="B73" s="29"/>
      <c r="C73" s="30" t="s">
        <v>2395</v>
      </c>
      <c r="D73" s="30" t="s">
        <v>2431</v>
      </c>
      <c r="E73" s="30" t="s">
        <v>2402</v>
      </c>
      <c r="F73" s="30" t="s">
        <v>2407</v>
      </c>
      <c r="G73" s="30" t="s">
        <v>2408</v>
      </c>
      <c r="H73" s="30" t="s">
        <v>2409</v>
      </c>
      <c r="I73" s="30" t="s">
        <v>2235</v>
      </c>
      <c r="J73" s="31" t="s">
        <v>2261</v>
      </c>
      <c r="K73" s="167">
        <v>100</v>
      </c>
      <c r="L73" s="34">
        <v>5</v>
      </c>
      <c r="M73" s="32">
        <v>5</v>
      </c>
      <c r="N73" s="34">
        <v>30</v>
      </c>
      <c r="O73" s="34">
        <v>30</v>
      </c>
      <c r="P73" s="34">
        <v>30</v>
      </c>
      <c r="Q73" s="34">
        <v>18.75</v>
      </c>
      <c r="R73" s="34">
        <v>30</v>
      </c>
      <c r="S73" s="34">
        <v>0</v>
      </c>
      <c r="T73" s="34">
        <v>5</v>
      </c>
      <c r="U73" s="34">
        <v>0</v>
      </c>
      <c r="V73" s="89">
        <f>+O73+M73+Q73</f>
        <v>53.75</v>
      </c>
      <c r="W73" s="86">
        <f>+V73/K73</f>
        <v>0.53749999999999998</v>
      </c>
      <c r="X73" s="90">
        <v>18.75</v>
      </c>
      <c r="Y73" s="90"/>
      <c r="Z73" s="90"/>
      <c r="AA73" s="48">
        <v>0</v>
      </c>
      <c r="AB73" s="48"/>
      <c r="AC73" s="48"/>
      <c r="AD73" s="48">
        <v>0</v>
      </c>
      <c r="AE73" s="48"/>
      <c r="AF73" s="48"/>
      <c r="AG73" s="48">
        <v>0</v>
      </c>
      <c r="AH73" s="48"/>
      <c r="AI73" s="48"/>
      <c r="AJ73" s="102">
        <f>AG73+AD73+X73+AA73</f>
        <v>18.75</v>
      </c>
      <c r="AK73" s="85">
        <f>+AJ73/N73</f>
        <v>0.625</v>
      </c>
      <c r="AL73" s="113" t="s">
        <v>2550</v>
      </c>
      <c r="AM73" s="113" t="s">
        <v>2546</v>
      </c>
      <c r="AN73" s="114" t="s">
        <v>2551</v>
      </c>
      <c r="AO73" s="72">
        <v>68</v>
      </c>
      <c r="AP73" s="72">
        <v>68</v>
      </c>
      <c r="AQ73" s="73">
        <v>332917056</v>
      </c>
      <c r="AR73" s="73">
        <v>332917056</v>
      </c>
      <c r="AS73" s="72">
        <v>345</v>
      </c>
      <c r="AT73" s="72">
        <v>345</v>
      </c>
    </row>
    <row r="74" spans="1:49" s="47" customFormat="1" ht="12.75" customHeight="1" x14ac:dyDescent="0.2">
      <c r="A74" s="28"/>
      <c r="B74" s="29"/>
      <c r="C74" s="30" t="s">
        <v>2441</v>
      </c>
      <c r="D74" s="30" t="s">
        <v>2431</v>
      </c>
      <c r="E74" s="30" t="s">
        <v>2402</v>
      </c>
      <c r="F74" s="30" t="s">
        <v>2488</v>
      </c>
      <c r="G74" s="30" t="s">
        <v>2410</v>
      </c>
      <c r="H74" s="30" t="s">
        <v>2471</v>
      </c>
      <c r="I74" s="30" t="s">
        <v>2442</v>
      </c>
      <c r="J74" s="31" t="s">
        <v>2260</v>
      </c>
      <c r="K74" s="167">
        <v>33.9</v>
      </c>
      <c r="L74" s="34">
        <v>0</v>
      </c>
      <c r="M74" s="32">
        <v>0</v>
      </c>
      <c r="N74" s="34">
        <v>37.799999999999997</v>
      </c>
      <c r="O74" s="34">
        <v>35.4</v>
      </c>
      <c r="P74" s="34">
        <v>36.9</v>
      </c>
      <c r="Q74" s="34">
        <v>35.6</v>
      </c>
      <c r="R74" s="34">
        <v>34.700000000000003</v>
      </c>
      <c r="S74" s="34">
        <v>0</v>
      </c>
      <c r="T74" s="34">
        <v>33.9</v>
      </c>
      <c r="U74" s="34">
        <v>0</v>
      </c>
      <c r="V74" s="115">
        <f>Q74</f>
        <v>35.6</v>
      </c>
      <c r="W74" s="36">
        <f>(38.3-Q74)/(38.3-T74)</f>
        <v>0.61363636363636287</v>
      </c>
      <c r="X74" s="38">
        <v>35.6</v>
      </c>
      <c r="Y74" s="38"/>
      <c r="Z74" s="38"/>
      <c r="AA74" s="48">
        <v>0</v>
      </c>
      <c r="AB74" s="48"/>
      <c r="AC74" s="48"/>
      <c r="AD74" s="48">
        <v>0</v>
      </c>
      <c r="AE74" s="48"/>
      <c r="AF74" s="48"/>
      <c r="AG74" s="48">
        <v>0</v>
      </c>
      <c r="AH74" s="48"/>
      <c r="AI74" s="48"/>
      <c r="AJ74" s="116">
        <f>X74</f>
        <v>35.6</v>
      </c>
      <c r="AK74" s="61">
        <v>0</v>
      </c>
      <c r="AL74" s="117" t="s">
        <v>2552</v>
      </c>
      <c r="AM74" s="175" t="s">
        <v>2546</v>
      </c>
      <c r="AN74" s="118" t="s">
        <v>2553</v>
      </c>
      <c r="AO74" s="44">
        <v>127</v>
      </c>
      <c r="AP74" s="44">
        <v>127</v>
      </c>
      <c r="AQ74" s="83">
        <v>1003321599</v>
      </c>
      <c r="AR74" s="83">
        <v>1003321599</v>
      </c>
      <c r="AS74" s="44">
        <v>5853</v>
      </c>
      <c r="AT74" s="44">
        <v>438</v>
      </c>
    </row>
    <row r="75" spans="1:49" s="47" customFormat="1" ht="12.75" customHeight="1" x14ac:dyDescent="0.2">
      <c r="A75" s="28"/>
      <c r="B75" s="29"/>
      <c r="C75" s="30" t="s">
        <v>2441</v>
      </c>
      <c r="D75" s="30" t="s">
        <v>2431</v>
      </c>
      <c r="E75" s="30" t="s">
        <v>2402</v>
      </c>
      <c r="F75" s="30" t="s">
        <v>2487</v>
      </c>
      <c r="G75" s="30" t="s">
        <v>2410</v>
      </c>
      <c r="H75" s="30" t="s">
        <v>2472</v>
      </c>
      <c r="I75" s="30" t="s">
        <v>2442</v>
      </c>
      <c r="J75" s="31" t="s">
        <v>2260</v>
      </c>
      <c r="K75" s="165">
        <v>17.3</v>
      </c>
      <c r="L75" s="34">
        <v>0</v>
      </c>
      <c r="M75" s="32">
        <v>0</v>
      </c>
      <c r="N75" s="34">
        <v>19.5</v>
      </c>
      <c r="O75" s="34">
        <v>18.3</v>
      </c>
      <c r="P75" s="34">
        <v>19</v>
      </c>
      <c r="Q75" s="34">
        <v>18.5</v>
      </c>
      <c r="R75" s="34">
        <v>17.8</v>
      </c>
      <c r="S75" s="34">
        <v>0</v>
      </c>
      <c r="T75" s="34">
        <v>17.3</v>
      </c>
      <c r="U75" s="34">
        <v>0</v>
      </c>
      <c r="V75" s="115">
        <f>Q75</f>
        <v>18.5</v>
      </c>
      <c r="W75" s="36">
        <f>(19.7-Q75)/(19.7-T75)</f>
        <v>0.5</v>
      </c>
      <c r="X75" s="38">
        <v>18.5</v>
      </c>
      <c r="Y75" s="38"/>
      <c r="Z75" s="38"/>
      <c r="AA75" s="48">
        <v>0</v>
      </c>
      <c r="AB75" s="48"/>
      <c r="AC75" s="48"/>
      <c r="AD75" s="48">
        <v>0</v>
      </c>
      <c r="AE75" s="48"/>
      <c r="AF75" s="48"/>
      <c r="AG75" s="48">
        <v>0</v>
      </c>
      <c r="AH75" s="48"/>
      <c r="AI75" s="48"/>
      <c r="AJ75" s="116">
        <f>X75</f>
        <v>18.5</v>
      </c>
      <c r="AK75" s="61">
        <v>0</v>
      </c>
      <c r="AL75" s="117"/>
      <c r="AM75" s="175"/>
      <c r="AN75" s="118"/>
      <c r="AO75" s="119"/>
      <c r="AP75" s="119"/>
      <c r="AQ75" s="120"/>
      <c r="AR75" s="120"/>
      <c r="AS75" s="119"/>
      <c r="AT75" s="119"/>
    </row>
    <row r="76" spans="1:49" s="47" customFormat="1" ht="12.75" customHeight="1" x14ac:dyDescent="0.2">
      <c r="A76" s="28"/>
      <c r="B76" s="29"/>
      <c r="C76" s="30" t="s">
        <v>2395</v>
      </c>
      <c r="D76" s="30" t="s">
        <v>2431</v>
      </c>
      <c r="E76" s="30" t="s">
        <v>2402</v>
      </c>
      <c r="F76" s="121" t="s">
        <v>2411</v>
      </c>
      <c r="G76" s="30" t="s">
        <v>2478</v>
      </c>
      <c r="H76" s="30" t="s">
        <v>2467</v>
      </c>
      <c r="I76" s="30" t="s">
        <v>2235</v>
      </c>
      <c r="J76" s="31" t="s">
        <v>2261</v>
      </c>
      <c r="K76" s="165">
        <f>+L76+N76+P76+R76+T76</f>
        <v>100</v>
      </c>
      <c r="L76" s="34">
        <v>0</v>
      </c>
      <c r="M76" s="32">
        <v>0</v>
      </c>
      <c r="N76" s="34">
        <v>35</v>
      </c>
      <c r="O76" s="34">
        <v>35</v>
      </c>
      <c r="P76" s="34">
        <v>35</v>
      </c>
      <c r="Q76" s="34">
        <v>21.88</v>
      </c>
      <c r="R76" s="34">
        <v>25</v>
      </c>
      <c r="S76" s="34">
        <v>0</v>
      </c>
      <c r="T76" s="34">
        <v>5</v>
      </c>
      <c r="U76" s="34">
        <v>0</v>
      </c>
      <c r="V76" s="66">
        <f>+Q76</f>
        <v>21.88</v>
      </c>
      <c r="W76" s="36">
        <f>Q76/K76</f>
        <v>0.21879999999999999</v>
      </c>
      <c r="X76" s="39">
        <v>21.88</v>
      </c>
      <c r="Y76" s="39"/>
      <c r="Z76" s="39"/>
      <c r="AA76" s="48">
        <v>0</v>
      </c>
      <c r="AB76" s="48"/>
      <c r="AC76" s="48"/>
      <c r="AD76" s="48">
        <v>0</v>
      </c>
      <c r="AE76" s="48"/>
      <c r="AF76" s="48"/>
      <c r="AG76" s="48">
        <v>0</v>
      </c>
      <c r="AH76" s="48"/>
      <c r="AI76" s="48"/>
      <c r="AJ76" s="102">
        <f>AD76+AG76+X76+AA76</f>
        <v>21.88</v>
      </c>
      <c r="AK76" s="61">
        <f>AJ76/P76</f>
        <v>0.62514285714285711</v>
      </c>
      <c r="AL76" s="122" t="s">
        <v>2548</v>
      </c>
      <c r="AM76" s="176" t="s">
        <v>2546</v>
      </c>
      <c r="AN76" s="122" t="s">
        <v>2549</v>
      </c>
      <c r="AO76" s="72">
        <v>0</v>
      </c>
      <c r="AP76" s="72">
        <v>0</v>
      </c>
      <c r="AQ76" s="73">
        <v>6984356</v>
      </c>
      <c r="AR76" s="73">
        <v>6984356</v>
      </c>
      <c r="AS76" s="72">
        <v>373</v>
      </c>
      <c r="AT76" s="72">
        <v>373</v>
      </c>
    </row>
    <row r="77" spans="1:49" s="47" customFormat="1" ht="12.75" customHeight="1" x14ac:dyDescent="0.2">
      <c r="A77" s="28"/>
      <c r="B77" s="28"/>
      <c r="C77" s="123" t="s">
        <v>2275</v>
      </c>
      <c r="D77" s="123"/>
      <c r="E77" s="124" t="s">
        <v>2276</v>
      </c>
      <c r="F77" s="124"/>
      <c r="G77" s="124"/>
      <c r="H77" s="124"/>
      <c r="I77" s="125" t="s">
        <v>2277</v>
      </c>
      <c r="J77" s="125"/>
      <c r="K77" s="125"/>
      <c r="L77" s="126">
        <v>2020</v>
      </c>
      <c r="M77" s="126"/>
      <c r="N77" s="126">
        <v>2021</v>
      </c>
      <c r="O77" s="126"/>
      <c r="P77" s="126">
        <v>2022</v>
      </c>
      <c r="Q77" s="126"/>
      <c r="R77" s="126">
        <v>2023</v>
      </c>
      <c r="S77" s="126"/>
      <c r="T77" s="126">
        <v>2024</v>
      </c>
      <c r="U77" s="126"/>
      <c r="V77" s="123" t="s">
        <v>2240</v>
      </c>
      <c r="W77" s="127"/>
      <c r="X77" s="128"/>
      <c r="Y77" s="128"/>
      <c r="Z77" s="128"/>
      <c r="AA77" s="128"/>
      <c r="AB77" s="128"/>
      <c r="AC77" s="128"/>
      <c r="AD77" s="128"/>
      <c r="AE77" s="128"/>
      <c r="AF77" s="128"/>
      <c r="AG77" s="128"/>
      <c r="AH77" s="128"/>
      <c r="AI77" s="128"/>
      <c r="AJ77" s="9"/>
      <c r="AK77" s="129"/>
      <c r="AL77" s="130"/>
      <c r="AM77" s="177"/>
      <c r="AN77" s="130"/>
      <c r="AO77" s="131"/>
      <c r="AP77" s="131"/>
      <c r="AQ77" s="132"/>
      <c r="AR77" s="133"/>
    </row>
    <row r="78" spans="1:49" s="47" customFormat="1" ht="12.75" customHeight="1" x14ac:dyDescent="0.2">
      <c r="A78" s="28"/>
      <c r="B78" s="28"/>
      <c r="C78" s="65" t="s">
        <v>2278</v>
      </c>
      <c r="D78" s="65"/>
      <c r="E78" s="134" t="s">
        <v>2279</v>
      </c>
      <c r="F78" s="134"/>
      <c r="G78" s="134"/>
      <c r="H78" s="134"/>
      <c r="I78" s="62" t="s">
        <v>2236</v>
      </c>
      <c r="J78" s="62"/>
      <c r="K78" s="62"/>
      <c r="L78" s="135">
        <v>1.32</v>
      </c>
      <c r="M78" s="135"/>
      <c r="N78" s="136">
        <v>1.58</v>
      </c>
      <c r="O78" s="136"/>
      <c r="P78" s="46">
        <v>0</v>
      </c>
      <c r="Q78" s="46"/>
      <c r="R78" s="46"/>
      <c r="S78" s="46"/>
      <c r="T78" s="46">
        <v>0</v>
      </c>
      <c r="U78" s="46"/>
      <c r="V78" s="137">
        <f>AVERAGE(L78)</f>
        <v>1.32</v>
      </c>
      <c r="W78" s="138"/>
      <c r="X78" s="9"/>
      <c r="Y78" s="9"/>
      <c r="Z78" s="9"/>
      <c r="AA78" s="9"/>
      <c r="AB78" s="9"/>
      <c r="AC78" s="9"/>
      <c r="AD78" s="9"/>
      <c r="AE78" s="9"/>
      <c r="AF78" s="9"/>
      <c r="AG78" s="9"/>
      <c r="AH78" s="9"/>
      <c r="AI78" s="9"/>
      <c r="AJ78" s="9"/>
      <c r="AK78" s="9"/>
      <c r="AL78" s="130"/>
      <c r="AM78" s="177"/>
      <c r="AN78" s="130"/>
      <c r="AO78" s="139"/>
      <c r="AP78" s="139"/>
      <c r="AQ78" s="132"/>
      <c r="AR78" s="133"/>
    </row>
    <row r="79" spans="1:49" s="47" customFormat="1" ht="12.75" customHeight="1" x14ac:dyDescent="0.2">
      <c r="A79" s="28"/>
      <c r="B79" s="28"/>
      <c r="C79" s="65" t="s">
        <v>2280</v>
      </c>
      <c r="D79" s="65"/>
      <c r="E79" s="62" t="s">
        <v>2281</v>
      </c>
      <c r="F79" s="62"/>
      <c r="G79" s="62"/>
      <c r="H79" s="62"/>
      <c r="I79" s="62" t="s">
        <v>2236</v>
      </c>
      <c r="J79" s="62"/>
      <c r="K79" s="62"/>
      <c r="L79" s="135">
        <v>15.2</v>
      </c>
      <c r="M79" s="135"/>
      <c r="N79" s="46">
        <v>15.5</v>
      </c>
      <c r="O79" s="46"/>
      <c r="P79" s="46">
        <v>0</v>
      </c>
      <c r="Q79" s="46"/>
      <c r="R79" s="46"/>
      <c r="S79" s="46"/>
      <c r="T79" s="46">
        <v>0</v>
      </c>
      <c r="U79" s="46"/>
      <c r="V79" s="137">
        <f t="shared" ref="V79:V90" si="11">AVERAGE(L79)</f>
        <v>15.2</v>
      </c>
      <c r="W79" s="138"/>
      <c r="X79" s="9"/>
      <c r="Y79" s="9"/>
      <c r="Z79" s="9"/>
      <c r="AA79" s="9"/>
      <c r="AB79" s="9"/>
      <c r="AC79" s="9"/>
      <c r="AD79" s="9"/>
      <c r="AE79" s="9"/>
      <c r="AF79" s="9"/>
      <c r="AG79" s="9"/>
      <c r="AH79" s="9"/>
      <c r="AI79" s="9"/>
      <c r="AJ79" s="9"/>
      <c r="AK79" s="9"/>
      <c r="AL79" s="130"/>
      <c r="AM79" s="177"/>
      <c r="AN79" s="130"/>
      <c r="AO79" s="139"/>
      <c r="AP79" s="139"/>
      <c r="AQ79" s="132"/>
      <c r="AR79" s="133"/>
    </row>
    <row r="80" spans="1:49" s="47" customFormat="1" ht="12.75" customHeight="1" x14ac:dyDescent="0.2">
      <c r="A80" s="28"/>
      <c r="B80" s="28"/>
      <c r="C80" s="65" t="s">
        <v>2282</v>
      </c>
      <c r="D80" s="65"/>
      <c r="E80" s="62" t="s">
        <v>2283</v>
      </c>
      <c r="F80" s="62"/>
      <c r="G80" s="62"/>
      <c r="H80" s="62"/>
      <c r="I80" s="62" t="s">
        <v>2235</v>
      </c>
      <c r="J80" s="62"/>
      <c r="K80" s="62"/>
      <c r="L80" s="140">
        <v>0.63200000000000001</v>
      </c>
      <c r="M80" s="140"/>
      <c r="N80" s="141">
        <v>63.2</v>
      </c>
      <c r="O80" s="141"/>
      <c r="P80" s="46">
        <v>0</v>
      </c>
      <c r="Q80" s="46"/>
      <c r="R80" s="46"/>
      <c r="S80" s="46"/>
      <c r="T80" s="46">
        <v>0</v>
      </c>
      <c r="U80" s="46"/>
      <c r="V80" s="137">
        <f t="shared" si="11"/>
        <v>0.63200000000000001</v>
      </c>
      <c r="W80" s="138"/>
      <c r="X80" s="9"/>
      <c r="Y80" s="9"/>
      <c r="Z80" s="9"/>
      <c r="AA80" s="9"/>
      <c r="AB80" s="9"/>
      <c r="AC80" s="9"/>
      <c r="AD80" s="9"/>
      <c r="AE80" s="9"/>
      <c r="AF80" s="9"/>
      <c r="AG80" s="9"/>
      <c r="AH80" s="9"/>
      <c r="AI80" s="9"/>
      <c r="AJ80" s="9"/>
      <c r="AK80" s="9"/>
      <c r="AL80" s="130"/>
      <c r="AM80" s="177"/>
      <c r="AN80" s="130"/>
      <c r="AO80" s="139"/>
      <c r="AP80" s="139"/>
      <c r="AQ80" s="132"/>
      <c r="AR80" s="133"/>
    </row>
    <row r="81" spans="1:44" s="47" customFormat="1" ht="12.75" customHeight="1" x14ac:dyDescent="0.2">
      <c r="A81" s="28"/>
      <c r="B81" s="28"/>
      <c r="C81" s="65" t="s">
        <v>2284</v>
      </c>
      <c r="D81" s="65"/>
      <c r="E81" s="62" t="s">
        <v>2285</v>
      </c>
      <c r="F81" s="62"/>
      <c r="G81" s="62"/>
      <c r="H81" s="62"/>
      <c r="I81" s="62" t="s">
        <v>2286</v>
      </c>
      <c r="J81" s="62"/>
      <c r="K81" s="62"/>
      <c r="L81" s="135">
        <v>0.41670000000000001</v>
      </c>
      <c r="M81" s="135"/>
      <c r="N81" s="142">
        <v>0.19040000000000001</v>
      </c>
      <c r="O81" s="142"/>
      <c r="P81" s="46">
        <v>0</v>
      </c>
      <c r="Q81" s="46"/>
      <c r="R81" s="46"/>
      <c r="S81" s="46"/>
      <c r="T81" s="46">
        <v>0</v>
      </c>
      <c r="U81" s="46"/>
      <c r="V81" s="137">
        <f t="shared" si="11"/>
        <v>0.41670000000000001</v>
      </c>
      <c r="W81" s="138"/>
      <c r="X81" s="9"/>
      <c r="Y81" s="9"/>
      <c r="Z81" s="9"/>
      <c r="AA81" s="9"/>
      <c r="AB81" s="9"/>
      <c r="AC81" s="9"/>
      <c r="AD81" s="9"/>
      <c r="AE81" s="9"/>
      <c r="AF81" s="9"/>
      <c r="AG81" s="9"/>
      <c r="AH81" s="9"/>
      <c r="AI81" s="9"/>
      <c r="AJ81" s="9"/>
      <c r="AK81" s="9"/>
      <c r="AL81" s="130"/>
      <c r="AM81" s="177"/>
      <c r="AN81" s="130"/>
      <c r="AO81" s="139"/>
      <c r="AP81" s="139"/>
      <c r="AQ81" s="132"/>
      <c r="AR81" s="133"/>
    </row>
    <row r="82" spans="1:44" s="47" customFormat="1" ht="12.75" customHeight="1" x14ac:dyDescent="0.2">
      <c r="A82" s="28"/>
      <c r="B82" s="28"/>
      <c r="C82" s="65" t="s">
        <v>2287</v>
      </c>
      <c r="D82" s="65"/>
      <c r="E82" s="62" t="s">
        <v>2288</v>
      </c>
      <c r="F82" s="62"/>
      <c r="G82" s="62"/>
      <c r="H82" s="62"/>
      <c r="I82" s="62" t="s">
        <v>2235</v>
      </c>
      <c r="J82" s="62"/>
      <c r="K82" s="62"/>
      <c r="L82" s="135">
        <v>293.2</v>
      </c>
      <c r="M82" s="135"/>
      <c r="N82" s="136">
        <v>386.14</v>
      </c>
      <c r="O82" s="136"/>
      <c r="P82" s="46">
        <v>0</v>
      </c>
      <c r="Q82" s="46"/>
      <c r="R82" s="46"/>
      <c r="S82" s="46"/>
      <c r="T82" s="46">
        <v>0</v>
      </c>
      <c r="U82" s="46"/>
      <c r="V82" s="137">
        <f t="shared" si="11"/>
        <v>293.2</v>
      </c>
      <c r="W82" s="143"/>
      <c r="X82" s="9"/>
      <c r="Y82" s="9"/>
      <c r="Z82" s="9"/>
      <c r="AA82" s="9"/>
      <c r="AB82" s="9"/>
      <c r="AC82" s="9"/>
      <c r="AD82" s="144"/>
      <c r="AE82" s="9"/>
      <c r="AF82" s="9"/>
      <c r="AG82" s="9"/>
      <c r="AH82" s="9"/>
      <c r="AI82" s="9"/>
      <c r="AJ82" s="9"/>
      <c r="AK82" s="9"/>
      <c r="AL82" s="145"/>
      <c r="AM82" s="177"/>
      <c r="AN82" s="145"/>
      <c r="AO82" s="139"/>
      <c r="AP82" s="139"/>
      <c r="AQ82" s="132"/>
      <c r="AR82" s="133"/>
    </row>
    <row r="83" spans="1:44" s="47" customFormat="1" ht="12.75" customHeight="1" x14ac:dyDescent="0.2">
      <c r="A83" s="28"/>
      <c r="B83" s="28"/>
      <c r="C83" s="65" t="s">
        <v>2289</v>
      </c>
      <c r="D83" s="65"/>
      <c r="E83" s="62" t="s">
        <v>2290</v>
      </c>
      <c r="F83" s="62"/>
      <c r="G83" s="62"/>
      <c r="H83" s="62"/>
      <c r="I83" s="62" t="s">
        <v>2235</v>
      </c>
      <c r="J83" s="62"/>
      <c r="K83" s="62"/>
      <c r="L83" s="135" t="s">
        <v>2312</v>
      </c>
      <c r="M83" s="135"/>
      <c r="N83" s="46" t="s">
        <v>2584</v>
      </c>
      <c r="O83" s="46"/>
      <c r="P83" s="46">
        <v>0</v>
      </c>
      <c r="Q83" s="46"/>
      <c r="R83" s="46"/>
      <c r="S83" s="46"/>
      <c r="T83" s="46">
        <v>0</v>
      </c>
      <c r="U83" s="46"/>
      <c r="V83" s="146">
        <v>0</v>
      </c>
      <c r="W83" s="143"/>
      <c r="X83" s="9"/>
      <c r="Y83" s="9"/>
      <c r="Z83" s="9"/>
      <c r="AA83" s="9"/>
      <c r="AB83" s="9"/>
      <c r="AC83" s="9"/>
      <c r="AD83" s="147"/>
      <c r="AE83" s="9"/>
      <c r="AF83" s="9"/>
      <c r="AG83" s="9"/>
      <c r="AH83" s="9"/>
      <c r="AI83" s="9"/>
      <c r="AJ83" s="9"/>
      <c r="AK83" s="9"/>
      <c r="AO83" s="139"/>
      <c r="AP83" s="139"/>
      <c r="AQ83" s="133"/>
      <c r="AR83" s="133"/>
    </row>
    <row r="84" spans="1:44" s="47" customFormat="1" ht="12.75" customHeight="1" x14ac:dyDescent="0.2">
      <c r="A84" s="28"/>
      <c r="B84" s="28"/>
      <c r="C84" s="65" t="s">
        <v>2291</v>
      </c>
      <c r="D84" s="65"/>
      <c r="E84" s="62" t="s">
        <v>2292</v>
      </c>
      <c r="F84" s="62"/>
      <c r="G84" s="62"/>
      <c r="H84" s="62"/>
      <c r="I84" s="62" t="s">
        <v>2235</v>
      </c>
      <c r="J84" s="62"/>
      <c r="K84" s="62"/>
      <c r="L84" s="135">
        <v>24.6</v>
      </c>
      <c r="M84" s="135"/>
      <c r="N84" s="141">
        <v>23.2</v>
      </c>
      <c r="O84" s="141"/>
      <c r="P84" s="46">
        <v>0</v>
      </c>
      <c r="Q84" s="46"/>
      <c r="R84" s="46"/>
      <c r="S84" s="46"/>
      <c r="T84" s="46">
        <v>0</v>
      </c>
      <c r="U84" s="46"/>
      <c r="V84" s="137">
        <f t="shared" si="11"/>
        <v>24.6</v>
      </c>
      <c r="W84" s="138"/>
      <c r="X84" s="9"/>
      <c r="Y84" s="9"/>
      <c r="Z84" s="9"/>
      <c r="AA84" s="9"/>
      <c r="AB84" s="9"/>
      <c r="AC84" s="9"/>
      <c r="AD84" s="9"/>
      <c r="AE84" s="9"/>
      <c r="AF84" s="9"/>
      <c r="AG84" s="9"/>
      <c r="AH84" s="9"/>
      <c r="AI84" s="9"/>
      <c r="AJ84" s="9"/>
      <c r="AK84" s="9"/>
      <c r="AO84" s="139"/>
      <c r="AP84" s="139"/>
      <c r="AQ84" s="133"/>
      <c r="AR84" s="133"/>
    </row>
    <row r="85" spans="1:44" s="47" customFormat="1" ht="12.75" customHeight="1" x14ac:dyDescent="0.2">
      <c r="A85" s="28"/>
      <c r="B85" s="28"/>
      <c r="C85" s="65" t="s">
        <v>2293</v>
      </c>
      <c r="D85" s="65"/>
      <c r="E85" s="62" t="s">
        <v>2294</v>
      </c>
      <c r="F85" s="62"/>
      <c r="G85" s="62"/>
      <c r="H85" s="62"/>
      <c r="I85" s="62" t="s">
        <v>2235</v>
      </c>
      <c r="J85" s="62"/>
      <c r="K85" s="62"/>
      <c r="L85" s="135" t="s">
        <v>2312</v>
      </c>
      <c r="M85" s="135"/>
      <c r="N85" s="135" t="s">
        <v>2312</v>
      </c>
      <c r="O85" s="135"/>
      <c r="P85" s="46">
        <v>0</v>
      </c>
      <c r="Q85" s="46"/>
      <c r="R85" s="46"/>
      <c r="S85" s="46"/>
      <c r="T85" s="46">
        <v>0</v>
      </c>
      <c r="U85" s="46"/>
      <c r="V85" s="146">
        <v>0</v>
      </c>
      <c r="W85" s="143"/>
      <c r="X85" s="9"/>
      <c r="Y85" s="9"/>
      <c r="Z85" s="9"/>
      <c r="AA85" s="9"/>
      <c r="AB85" s="9"/>
      <c r="AC85" s="9"/>
      <c r="AD85" s="147"/>
      <c r="AE85" s="9"/>
      <c r="AF85" s="9"/>
      <c r="AG85" s="9"/>
      <c r="AH85" s="9"/>
      <c r="AI85" s="9"/>
      <c r="AJ85" s="9"/>
      <c r="AK85" s="9"/>
      <c r="AO85" s="139"/>
      <c r="AP85" s="139"/>
      <c r="AQ85" s="133"/>
      <c r="AR85" s="133"/>
    </row>
    <row r="86" spans="1:44" s="47" customFormat="1" ht="12.75" customHeight="1" x14ac:dyDescent="0.2">
      <c r="A86" s="28"/>
      <c r="B86" s="28"/>
      <c r="C86" s="65" t="s">
        <v>2295</v>
      </c>
      <c r="D86" s="65"/>
      <c r="E86" s="62" t="s">
        <v>2296</v>
      </c>
      <c r="F86" s="62"/>
      <c r="G86" s="62"/>
      <c r="H86" s="62"/>
      <c r="I86" s="62" t="s">
        <v>2237</v>
      </c>
      <c r="J86" s="62"/>
      <c r="K86" s="62"/>
      <c r="L86" s="135" t="s">
        <v>2312</v>
      </c>
      <c r="M86" s="135"/>
      <c r="N86" s="135" t="s">
        <v>2312</v>
      </c>
      <c r="O86" s="135"/>
      <c r="P86" s="46">
        <v>0</v>
      </c>
      <c r="Q86" s="46"/>
      <c r="R86" s="46"/>
      <c r="S86" s="46"/>
      <c r="T86" s="46">
        <v>0</v>
      </c>
      <c r="U86" s="46"/>
      <c r="V86" s="146">
        <v>0</v>
      </c>
      <c r="W86" s="138"/>
      <c r="X86" s="9"/>
      <c r="Y86" s="9"/>
      <c r="Z86" s="9"/>
      <c r="AA86" s="9"/>
      <c r="AB86" s="9"/>
      <c r="AC86" s="9"/>
      <c r="AD86" s="9"/>
      <c r="AE86" s="9"/>
      <c r="AF86" s="9"/>
      <c r="AG86" s="9"/>
      <c r="AH86" s="9"/>
      <c r="AI86" s="9"/>
      <c r="AJ86" s="9"/>
      <c r="AK86" s="9"/>
      <c r="AO86" s="139"/>
      <c r="AP86" s="139"/>
      <c r="AQ86" s="133"/>
      <c r="AR86" s="133"/>
    </row>
    <row r="87" spans="1:44" s="47" customFormat="1" ht="12.75" customHeight="1" x14ac:dyDescent="0.2">
      <c r="A87" s="28"/>
      <c r="B87" s="28"/>
      <c r="C87" s="65" t="s">
        <v>2297</v>
      </c>
      <c r="D87" s="65"/>
      <c r="E87" s="62" t="s">
        <v>2298</v>
      </c>
      <c r="F87" s="62"/>
      <c r="G87" s="62"/>
      <c r="H87" s="62"/>
      <c r="I87" s="62" t="s">
        <v>2235</v>
      </c>
      <c r="J87" s="62"/>
      <c r="K87" s="62"/>
      <c r="L87" s="135" t="s">
        <v>2312</v>
      </c>
      <c r="M87" s="135"/>
      <c r="N87" s="135" t="s">
        <v>2312</v>
      </c>
      <c r="O87" s="135"/>
      <c r="P87" s="46">
        <v>0</v>
      </c>
      <c r="Q87" s="46"/>
      <c r="R87" s="46"/>
      <c r="S87" s="46"/>
      <c r="T87" s="46">
        <v>0</v>
      </c>
      <c r="U87" s="46"/>
      <c r="V87" s="146">
        <v>0</v>
      </c>
      <c r="W87" s="138"/>
      <c r="X87" s="9"/>
      <c r="Y87" s="9"/>
      <c r="Z87" s="9"/>
      <c r="AA87" s="9"/>
      <c r="AB87" s="9"/>
      <c r="AC87" s="9"/>
      <c r="AD87" s="9"/>
      <c r="AE87" s="9"/>
      <c r="AF87" s="9"/>
      <c r="AG87" s="9"/>
      <c r="AH87" s="9"/>
      <c r="AI87" s="9"/>
      <c r="AJ87" s="9"/>
      <c r="AK87" s="9"/>
      <c r="AO87" s="139"/>
      <c r="AP87" s="139"/>
      <c r="AQ87" s="133"/>
      <c r="AR87" s="133"/>
    </row>
    <row r="88" spans="1:44" s="47" customFormat="1" ht="12.75" customHeight="1" x14ac:dyDescent="0.2">
      <c r="A88" s="28"/>
      <c r="B88" s="28"/>
      <c r="C88" s="65" t="s">
        <v>2299</v>
      </c>
      <c r="D88" s="65"/>
      <c r="E88" s="62" t="s">
        <v>2300</v>
      </c>
      <c r="F88" s="62"/>
      <c r="G88" s="62"/>
      <c r="H88" s="62"/>
      <c r="I88" s="62" t="s">
        <v>2235</v>
      </c>
      <c r="J88" s="62"/>
      <c r="K88" s="62"/>
      <c r="L88" s="135" t="s">
        <v>2312</v>
      </c>
      <c r="M88" s="135"/>
      <c r="N88" s="135" t="s">
        <v>2312</v>
      </c>
      <c r="O88" s="135"/>
      <c r="P88" s="46">
        <v>0</v>
      </c>
      <c r="Q88" s="46"/>
      <c r="R88" s="46"/>
      <c r="S88" s="46"/>
      <c r="T88" s="46">
        <v>0</v>
      </c>
      <c r="U88" s="46"/>
      <c r="V88" s="146">
        <v>0</v>
      </c>
      <c r="W88" s="148"/>
      <c r="X88" s="9"/>
      <c r="Y88" s="9"/>
      <c r="Z88" s="9"/>
      <c r="AA88" s="9"/>
      <c r="AB88" s="9"/>
      <c r="AC88" s="9"/>
      <c r="AD88" s="9"/>
      <c r="AE88" s="9"/>
      <c r="AF88" s="9"/>
      <c r="AG88" s="9"/>
      <c r="AH88" s="9"/>
      <c r="AI88" s="9"/>
      <c r="AJ88" s="9"/>
      <c r="AK88" s="9"/>
      <c r="AO88" s="139"/>
      <c r="AP88" s="139"/>
      <c r="AQ88" s="133"/>
      <c r="AR88" s="133"/>
    </row>
    <row r="89" spans="1:44" s="47" customFormat="1" ht="12.75" customHeight="1" x14ac:dyDescent="0.2">
      <c r="A89" s="28"/>
      <c r="B89" s="28"/>
      <c r="C89" s="65" t="s">
        <v>2301</v>
      </c>
      <c r="D89" s="65"/>
      <c r="E89" s="62" t="s">
        <v>2302</v>
      </c>
      <c r="F89" s="62"/>
      <c r="G89" s="62"/>
      <c r="H89" s="62"/>
      <c r="I89" s="62" t="s">
        <v>2303</v>
      </c>
      <c r="J89" s="62"/>
      <c r="K89" s="62"/>
      <c r="L89" s="135">
        <v>0.98</v>
      </c>
      <c r="M89" s="135"/>
      <c r="N89" s="136">
        <v>0.99</v>
      </c>
      <c r="O89" s="136"/>
      <c r="P89" s="46">
        <v>0</v>
      </c>
      <c r="Q89" s="46"/>
      <c r="R89" s="46"/>
      <c r="S89" s="46"/>
      <c r="T89" s="46">
        <v>0</v>
      </c>
      <c r="U89" s="46"/>
      <c r="V89" s="137">
        <f t="shared" si="11"/>
        <v>0.98</v>
      </c>
      <c r="W89" s="138"/>
      <c r="X89" s="9"/>
      <c r="Y89" s="9"/>
      <c r="Z89" s="9"/>
      <c r="AA89" s="9"/>
      <c r="AB89" s="9"/>
      <c r="AC89" s="9"/>
      <c r="AD89" s="9"/>
      <c r="AE89" s="9"/>
      <c r="AF89" s="9"/>
      <c r="AG89" s="9"/>
      <c r="AH89" s="9"/>
      <c r="AI89" s="9"/>
      <c r="AJ89" s="9"/>
      <c r="AK89" s="9"/>
      <c r="AO89" s="139"/>
      <c r="AP89" s="139"/>
      <c r="AQ89" s="133"/>
      <c r="AR89" s="133"/>
    </row>
    <row r="90" spans="1:44" s="47" customFormat="1" ht="12.75" customHeight="1" x14ac:dyDescent="0.2">
      <c r="A90" s="28"/>
      <c r="B90" s="28"/>
      <c r="C90" s="65" t="s">
        <v>2304</v>
      </c>
      <c r="D90" s="65"/>
      <c r="E90" s="62" t="s">
        <v>2305</v>
      </c>
      <c r="F90" s="62"/>
      <c r="G90" s="62"/>
      <c r="H90" s="62"/>
      <c r="I90" s="62" t="s">
        <v>2235</v>
      </c>
      <c r="J90" s="62"/>
      <c r="K90" s="62"/>
      <c r="L90" s="149">
        <v>1</v>
      </c>
      <c r="M90" s="149"/>
      <c r="N90" s="135" t="s">
        <v>2312</v>
      </c>
      <c r="O90" s="135"/>
      <c r="P90" s="46">
        <v>0</v>
      </c>
      <c r="Q90" s="46"/>
      <c r="R90" s="46"/>
      <c r="S90" s="46"/>
      <c r="T90" s="46">
        <v>0</v>
      </c>
      <c r="U90" s="46"/>
      <c r="V90" s="137">
        <f t="shared" si="11"/>
        <v>1</v>
      </c>
      <c r="W90" s="138"/>
      <c r="X90" s="9"/>
      <c r="Y90" s="9"/>
      <c r="Z90" s="9"/>
      <c r="AA90" s="9"/>
      <c r="AB90" s="9"/>
      <c r="AC90" s="9"/>
      <c r="AD90" s="9"/>
      <c r="AE90" s="9"/>
      <c r="AF90" s="9"/>
      <c r="AG90" s="9"/>
      <c r="AH90" s="9"/>
      <c r="AI90" s="9"/>
      <c r="AJ90" s="9"/>
      <c r="AK90" s="9"/>
      <c r="AO90" s="139"/>
      <c r="AP90" s="139"/>
      <c r="AQ90" s="133"/>
      <c r="AR90" s="133"/>
    </row>
    <row r="91" spans="1:44" s="47" customFormat="1" ht="12.75" customHeight="1" x14ac:dyDescent="0.2">
      <c r="A91" s="28"/>
      <c r="B91" s="28"/>
      <c r="C91" s="65" t="s">
        <v>2306</v>
      </c>
      <c r="D91" s="65"/>
      <c r="E91" s="62" t="s">
        <v>2307</v>
      </c>
      <c r="F91" s="62"/>
      <c r="G91" s="62"/>
      <c r="H91" s="62"/>
      <c r="I91" s="62" t="s">
        <v>2308</v>
      </c>
      <c r="J91" s="62"/>
      <c r="K91" s="62"/>
      <c r="L91" s="135" t="s">
        <v>2312</v>
      </c>
      <c r="M91" s="135"/>
      <c r="N91" s="46" t="s">
        <v>2584</v>
      </c>
      <c r="O91" s="46"/>
      <c r="P91" s="46">
        <v>0</v>
      </c>
      <c r="Q91" s="46"/>
      <c r="R91" s="46"/>
      <c r="S91" s="46"/>
      <c r="T91" s="46">
        <v>0</v>
      </c>
      <c r="U91" s="46"/>
      <c r="V91" s="146">
        <v>0</v>
      </c>
      <c r="W91" s="138"/>
      <c r="X91" s="9"/>
      <c r="Y91" s="9"/>
      <c r="Z91" s="9"/>
      <c r="AA91" s="9"/>
      <c r="AB91" s="9"/>
      <c r="AC91" s="9"/>
      <c r="AD91" s="9"/>
      <c r="AE91" s="9"/>
      <c r="AF91" s="9"/>
      <c r="AG91" s="9"/>
      <c r="AH91" s="9"/>
      <c r="AI91" s="9"/>
      <c r="AJ91" s="9"/>
      <c r="AK91" s="9"/>
      <c r="AO91" s="139"/>
      <c r="AP91" s="139"/>
      <c r="AQ91" s="133"/>
      <c r="AR91" s="133"/>
    </row>
    <row r="92" spans="1:44" ht="12.75" customHeight="1" x14ac:dyDescent="0.2">
      <c r="V92" s="151"/>
    </row>
    <row r="93" spans="1:44" ht="12.75" customHeight="1" x14ac:dyDescent="0.2">
      <c r="AG93" s="156"/>
    </row>
    <row r="96" spans="1:44" ht="12.75" customHeight="1" x14ac:dyDescent="0.2">
      <c r="AK96" s="157"/>
    </row>
    <row r="97" spans="37:37" ht="12.75" customHeight="1" x14ac:dyDescent="0.2">
      <c r="AK97" s="157"/>
    </row>
  </sheetData>
  <sheetProtection selectLockedCells="1"/>
  <autoFilter ref="B11:AV91"/>
  <mergeCells count="569">
    <mergeCell ref="J9:K9"/>
    <mergeCell ref="X9:AJ10"/>
    <mergeCell ref="AK9:AN10"/>
    <mergeCell ref="L9:M9"/>
    <mergeCell ref="N9:O9"/>
    <mergeCell ref="P9:Q9"/>
    <mergeCell ref="R9:S9"/>
    <mergeCell ref="T9:U9"/>
    <mergeCell ref="V9:V11"/>
    <mergeCell ref="W9:W11"/>
    <mergeCell ref="B11:B76"/>
    <mergeCell ref="AG49:AI49"/>
    <mergeCell ref="AL46:AL50"/>
    <mergeCell ref="AN12:AN13"/>
    <mergeCell ref="X44:Z44"/>
    <mergeCell ref="AA44:AC44"/>
    <mergeCell ref="X45:Z45"/>
    <mergeCell ref="AA45:AC45"/>
    <mergeCell ref="X46:Z46"/>
    <mergeCell ref="AA46:AC46"/>
    <mergeCell ref="X39:Z39"/>
    <mergeCell ref="AA39:AC39"/>
    <mergeCell ref="X40:Z40"/>
    <mergeCell ref="AA40:AC40"/>
    <mergeCell ref="X43:Z43"/>
    <mergeCell ref="AA35:AC35"/>
    <mergeCell ref="X36:Z36"/>
    <mergeCell ref="AA36:AC36"/>
    <mergeCell ref="X37:Z37"/>
    <mergeCell ref="AA37:AC37"/>
    <mergeCell ref="X38:Z38"/>
    <mergeCell ref="AA38:AC38"/>
    <mergeCell ref="AL44:AL45"/>
    <mergeCell ref="AM44:AM45"/>
    <mergeCell ref="AN44:AN45"/>
    <mergeCell ref="AM20:AM22"/>
    <mergeCell ref="X67:Z67"/>
    <mergeCell ref="AA67:AC67"/>
    <mergeCell ref="AD67:AF67"/>
    <mergeCell ref="AG67:AI67"/>
    <mergeCell ref="AQ66:AQ67"/>
    <mergeCell ref="AR66:AR67"/>
    <mergeCell ref="X64:Z64"/>
    <mergeCell ref="AA64:AC64"/>
    <mergeCell ref="AD64:AF64"/>
    <mergeCell ref="AO66:AO67"/>
    <mergeCell ref="AP66:AP67"/>
    <mergeCell ref="AQ26:AQ27"/>
    <mergeCell ref="AR26:AR27"/>
    <mergeCell ref="AQ41:AQ42"/>
    <mergeCell ref="AR41:AR42"/>
    <mergeCell ref="X31:Z31"/>
    <mergeCell ref="AA31:AC31"/>
    <mergeCell ref="X41:Z41"/>
    <mergeCell ref="AA41:AC41"/>
    <mergeCell ref="X42:Z42"/>
    <mergeCell ref="AA42:AC42"/>
    <mergeCell ref="AO41:AO42"/>
    <mergeCell ref="AP41:AP42"/>
    <mergeCell ref="AL41:AL42"/>
    <mergeCell ref="X34:Z34"/>
    <mergeCell ref="AA34:AC34"/>
    <mergeCell ref="X35:Z35"/>
    <mergeCell ref="AM39:AM40"/>
    <mergeCell ref="AN39:AN40"/>
    <mergeCell ref="AG42:AI42"/>
    <mergeCell ref="AD40:AF40"/>
    <mergeCell ref="AD41:AF41"/>
    <mergeCell ref="AG41:AI41"/>
    <mergeCell ref="AL39:AL40"/>
    <mergeCell ref="AL36:AL37"/>
    <mergeCell ref="AA29:AC29"/>
    <mergeCell ref="X30:Z30"/>
    <mergeCell ref="X27:Z27"/>
    <mergeCell ref="AA27:AC27"/>
    <mergeCell ref="AG31:AI31"/>
    <mergeCell ref="AG76:AI76"/>
    <mergeCell ref="AM71:AM72"/>
    <mergeCell ref="AN71:AN72"/>
    <mergeCell ref="AO71:AO72"/>
    <mergeCell ref="AD76:AF76"/>
    <mergeCell ref="X73:Z73"/>
    <mergeCell ref="AA73:AC73"/>
    <mergeCell ref="X75:Z75"/>
    <mergeCell ref="AA75:AC75"/>
    <mergeCell ref="X76:Z76"/>
    <mergeCell ref="AG70:AI70"/>
    <mergeCell ref="X65:Z65"/>
    <mergeCell ref="AA65:AC65"/>
    <mergeCell ref="X66:Z66"/>
    <mergeCell ref="AA66:AC66"/>
    <mergeCell ref="X68:Z68"/>
    <mergeCell ref="AA68:AC68"/>
    <mergeCell ref="X69:Z69"/>
    <mergeCell ref="AA69:AC69"/>
    <mergeCell ref="AG73:AI73"/>
    <mergeCell ref="AD71:AF71"/>
    <mergeCell ref="AD72:AF72"/>
    <mergeCell ref="AO74:AO75"/>
    <mergeCell ref="AP74:AP75"/>
    <mergeCell ref="AG74:AI74"/>
    <mergeCell ref="AN74:AN75"/>
    <mergeCell ref="AG75:AI75"/>
    <mergeCell ref="AD73:AF73"/>
    <mergeCell ref="AD75:AF75"/>
    <mergeCell ref="AD74:AF74"/>
    <mergeCell ref="AG71:AI71"/>
    <mergeCell ref="AG72:AI72"/>
    <mergeCell ref="X74:Z74"/>
    <mergeCell ref="AA74:AC74"/>
    <mergeCell ref="AA76:AC76"/>
    <mergeCell ref="AD70:AF70"/>
    <mergeCell ref="X70:Z70"/>
    <mergeCell ref="AA70:AC70"/>
    <mergeCell ref="X71:Z71"/>
    <mergeCell ref="AA71:AC71"/>
    <mergeCell ref="X72:Z72"/>
    <mergeCell ref="AA72:AC72"/>
    <mergeCell ref="AD69:AF69"/>
    <mergeCell ref="AD65:AF65"/>
    <mergeCell ref="AG65:AI65"/>
    <mergeCell ref="AD66:AF66"/>
    <mergeCell ref="AG66:AI66"/>
    <mergeCell ref="AD68:AF68"/>
    <mergeCell ref="AA43:AC43"/>
    <mergeCell ref="X56:Z56"/>
    <mergeCell ref="AA56:AC56"/>
    <mergeCell ref="X57:Z57"/>
    <mergeCell ref="AA57:AC57"/>
    <mergeCell ref="X47:Z47"/>
    <mergeCell ref="AA47:AC47"/>
    <mergeCell ref="X48:Z48"/>
    <mergeCell ref="AA48:AC48"/>
    <mergeCell ref="X49:Z49"/>
    <mergeCell ref="AA49:AC49"/>
    <mergeCell ref="X54:Z54"/>
    <mergeCell ref="AA54:AC54"/>
    <mergeCell ref="X55:Z55"/>
    <mergeCell ref="AA55:AC55"/>
    <mergeCell ref="X52:Z52"/>
    <mergeCell ref="X53:Z53"/>
    <mergeCell ref="AA53:AC53"/>
    <mergeCell ref="AA52:AC52"/>
    <mergeCell ref="AD51:AF51"/>
    <mergeCell ref="AL62:AL63"/>
    <mergeCell ref="X50:Z50"/>
    <mergeCell ref="AA50:AC50"/>
    <mergeCell ref="X51:Z51"/>
    <mergeCell ref="AA51:AC51"/>
    <mergeCell ref="X58:Z58"/>
    <mergeCell ref="AA58:AC58"/>
    <mergeCell ref="AD50:AF50"/>
    <mergeCell ref="AD52:AF52"/>
    <mergeCell ref="AG53:AI53"/>
    <mergeCell ref="AD53:AF53"/>
    <mergeCell ref="AG52:AI52"/>
    <mergeCell ref="X59:Z59"/>
    <mergeCell ref="AA59:AC59"/>
    <mergeCell ref="X60:Z60"/>
    <mergeCell ref="AA60:AC60"/>
    <mergeCell ref="X61:Z61"/>
    <mergeCell ref="AA61:AC61"/>
    <mergeCell ref="X62:Z62"/>
    <mergeCell ref="AA62:AC62"/>
    <mergeCell ref="X63:Z63"/>
    <mergeCell ref="AA63:AC63"/>
    <mergeCell ref="AL59:AL60"/>
    <mergeCell ref="AD55:AF55"/>
    <mergeCell ref="AD63:AF63"/>
    <mergeCell ref="AD56:AF56"/>
    <mergeCell ref="AG56:AI56"/>
    <mergeCell ref="AD58:AF58"/>
    <mergeCell ref="AG58:AI58"/>
    <mergeCell ref="AD60:AF60"/>
    <mergeCell ref="AG60:AI60"/>
    <mergeCell ref="AD62:AF62"/>
    <mergeCell ref="AG62:AI62"/>
    <mergeCell ref="AG68:AI68"/>
    <mergeCell ref="AD61:AF61"/>
    <mergeCell ref="AG61:AI61"/>
    <mergeCell ref="AG63:AI63"/>
    <mergeCell ref="AG64:AI64"/>
    <mergeCell ref="AN20:AN22"/>
    <mergeCell ref="AM68:AM69"/>
    <mergeCell ref="AN68:AN69"/>
    <mergeCell ref="AM59:AM60"/>
    <mergeCell ref="AN59:AN60"/>
    <mergeCell ref="AM57:AM58"/>
    <mergeCell ref="AN57:AN58"/>
    <mergeCell ref="AM46:AM50"/>
    <mergeCell ref="AN46:AN50"/>
    <mergeCell ref="AM36:AM37"/>
    <mergeCell ref="AN36:AN37"/>
    <mergeCell ref="AM62:AM63"/>
    <mergeCell ref="AN62:AN63"/>
    <mergeCell ref="AM41:AM42"/>
    <mergeCell ref="AN41:AN42"/>
    <mergeCell ref="AN23:AN24"/>
    <mergeCell ref="AM54:AM56"/>
    <mergeCell ref="AL68:AL69"/>
    <mergeCell ref="AL29:AL33"/>
    <mergeCell ref="AN29:AN33"/>
    <mergeCell ref="AL51:AL53"/>
    <mergeCell ref="AM51:AM53"/>
    <mergeCell ref="AG32:AI32"/>
    <mergeCell ref="AD38:AF38"/>
    <mergeCell ref="AG38:AI38"/>
    <mergeCell ref="AD33:AF33"/>
    <mergeCell ref="AM29:AM33"/>
    <mergeCell ref="X20:Z20"/>
    <mergeCell ref="AA20:AC20"/>
    <mergeCell ref="X21:Z21"/>
    <mergeCell ref="AA21:AC21"/>
    <mergeCell ref="X22:Z22"/>
    <mergeCell ref="AA22:AC22"/>
    <mergeCell ref="X23:Z23"/>
    <mergeCell ref="AA23:AC23"/>
    <mergeCell ref="X24:Z24"/>
    <mergeCell ref="AA24:AC24"/>
    <mergeCell ref="X25:Z25"/>
    <mergeCell ref="AA25:AC25"/>
    <mergeCell ref="X26:Z26"/>
    <mergeCell ref="AA26:AC26"/>
    <mergeCell ref="X28:Z28"/>
    <mergeCell ref="AA28:AC28"/>
    <mergeCell ref="X29:Z29"/>
    <mergeCell ref="X32:Z32"/>
    <mergeCell ref="E91:H91"/>
    <mergeCell ref="E20:E22"/>
    <mergeCell ref="E29:E33"/>
    <mergeCell ref="E59:E60"/>
    <mergeCell ref="E77:H77"/>
    <mergeCell ref="E78:H78"/>
    <mergeCell ref="E46:E50"/>
    <mergeCell ref="E62:E63"/>
    <mergeCell ref="E41:E42"/>
    <mergeCell ref="E36:E37"/>
    <mergeCell ref="H20:H22"/>
    <mergeCell ref="E81:H81"/>
    <mergeCell ref="E71:E72"/>
    <mergeCell ref="H23:H24"/>
    <mergeCell ref="E79:H79"/>
    <mergeCell ref="F59:F60"/>
    <mergeCell ref="L87:M87"/>
    <mergeCell ref="N87:O87"/>
    <mergeCell ref="L86:M86"/>
    <mergeCell ref="N86:O86"/>
    <mergeCell ref="T80:U80"/>
    <mergeCell ref="T79:U79"/>
    <mergeCell ref="L85:M85"/>
    <mergeCell ref="N85:O85"/>
    <mergeCell ref="L84:M84"/>
    <mergeCell ref="N84:O84"/>
    <mergeCell ref="E80:H80"/>
    <mergeCell ref="E82:H82"/>
    <mergeCell ref="E83:H83"/>
    <mergeCell ref="E84:H84"/>
    <mergeCell ref="E85:H85"/>
    <mergeCell ref="I80:K80"/>
    <mergeCell ref="L81:M81"/>
    <mergeCell ref="E57:E58"/>
    <mergeCell ref="D59:D60"/>
    <mergeCell ref="D62:D63"/>
    <mergeCell ref="T78:U78"/>
    <mergeCell ref="C39:C40"/>
    <mergeCell ref="D39:D40"/>
    <mergeCell ref="C41:C42"/>
    <mergeCell ref="D41:D42"/>
    <mergeCell ref="C59:C60"/>
    <mergeCell ref="I78:K78"/>
    <mergeCell ref="E39:E40"/>
    <mergeCell ref="R78:S78"/>
    <mergeCell ref="C71:C72"/>
    <mergeCell ref="D71:D72"/>
    <mergeCell ref="N78:O78"/>
    <mergeCell ref="P78:Q78"/>
    <mergeCell ref="L78:M78"/>
    <mergeCell ref="L77:M77"/>
    <mergeCell ref="N77:O77"/>
    <mergeCell ref="P77:Q77"/>
    <mergeCell ref="R77:S77"/>
    <mergeCell ref="T77:U77"/>
    <mergeCell ref="B9:E10"/>
    <mergeCell ref="C46:C50"/>
    <mergeCell ref="C62:C63"/>
    <mergeCell ref="D29:D33"/>
    <mergeCell ref="D44:D45"/>
    <mergeCell ref="D46:D50"/>
    <mergeCell ref="D54:D56"/>
    <mergeCell ref="D57:D58"/>
    <mergeCell ref="C54:C56"/>
    <mergeCell ref="E54:E56"/>
    <mergeCell ref="C29:C33"/>
    <mergeCell ref="C44:C45"/>
    <mergeCell ref="E44:E45"/>
    <mergeCell ref="E14:E15"/>
    <mergeCell ref="E16:E17"/>
    <mergeCell ref="C36:C37"/>
    <mergeCell ref="D36:D37"/>
    <mergeCell ref="C14:C15"/>
    <mergeCell ref="C20:C22"/>
    <mergeCell ref="C23:C24"/>
    <mergeCell ref="D20:D22"/>
    <mergeCell ref="D23:D24"/>
    <mergeCell ref="D14:D15"/>
    <mergeCell ref="C57:C58"/>
    <mergeCell ref="R79:S79"/>
    <mergeCell ref="F20:F22"/>
    <mergeCell ref="F29:F33"/>
    <mergeCell ref="F23:F24"/>
    <mergeCell ref="I81:K81"/>
    <mergeCell ref="I79:K79"/>
    <mergeCell ref="L79:M79"/>
    <mergeCell ref="N79:O79"/>
    <mergeCell ref="P79:Q79"/>
    <mergeCell ref="H29:H33"/>
    <mergeCell ref="L80:M80"/>
    <mergeCell ref="N80:O80"/>
    <mergeCell ref="P80:Q80"/>
    <mergeCell ref="N81:O81"/>
    <mergeCell ref="P81:Q81"/>
    <mergeCell ref="R82:S82"/>
    <mergeCell ref="R81:S81"/>
    <mergeCell ref="R80:S80"/>
    <mergeCell ref="T82:U82"/>
    <mergeCell ref="P83:Q83"/>
    <mergeCell ref="R83:S83"/>
    <mergeCell ref="P84:Q84"/>
    <mergeCell ref="R84:S84"/>
    <mergeCell ref="T83:U83"/>
    <mergeCell ref="T81:U81"/>
    <mergeCell ref="P82:Q82"/>
    <mergeCell ref="P91:Q91"/>
    <mergeCell ref="R91:S91"/>
    <mergeCell ref="T91:U91"/>
    <mergeCell ref="T84:U84"/>
    <mergeCell ref="P85:Q85"/>
    <mergeCell ref="R85:S85"/>
    <mergeCell ref="T85:U85"/>
    <mergeCell ref="P86:Q86"/>
    <mergeCell ref="R86:S86"/>
    <mergeCell ref="T86:U86"/>
    <mergeCell ref="P87:Q87"/>
    <mergeCell ref="R87:S87"/>
    <mergeCell ref="T87:U87"/>
    <mergeCell ref="R88:S88"/>
    <mergeCell ref="T88:U88"/>
    <mergeCell ref="P88:Q88"/>
    <mergeCell ref="L89:M89"/>
    <mergeCell ref="P89:Q89"/>
    <mergeCell ref="R89:S89"/>
    <mergeCell ref="T89:U89"/>
    <mergeCell ref="L90:M90"/>
    <mergeCell ref="N90:O90"/>
    <mergeCell ref="P90:Q90"/>
    <mergeCell ref="R90:S90"/>
    <mergeCell ref="T90:U90"/>
    <mergeCell ref="I90:K90"/>
    <mergeCell ref="I91:K91"/>
    <mergeCell ref="I89:K89"/>
    <mergeCell ref="N89:O89"/>
    <mergeCell ref="E89:H89"/>
    <mergeCell ref="E90:H90"/>
    <mergeCell ref="L82:M82"/>
    <mergeCell ref="N82:O82"/>
    <mergeCell ref="I88:K88"/>
    <mergeCell ref="L83:M83"/>
    <mergeCell ref="N83:O83"/>
    <mergeCell ref="E86:H86"/>
    <mergeCell ref="E87:H87"/>
    <mergeCell ref="E88:H88"/>
    <mergeCell ref="I86:K86"/>
    <mergeCell ref="I87:K87"/>
    <mergeCell ref="L91:M91"/>
    <mergeCell ref="N91:O91"/>
    <mergeCell ref="I82:K82"/>
    <mergeCell ref="I83:K83"/>
    <mergeCell ref="I84:K84"/>
    <mergeCell ref="I85:K85"/>
    <mergeCell ref="L88:M88"/>
    <mergeCell ref="N88:O88"/>
    <mergeCell ref="AD44:AF44"/>
    <mergeCell ref="AG44:AI44"/>
    <mergeCell ref="AD30:AF30"/>
    <mergeCell ref="AD43:AF43"/>
    <mergeCell ref="AD37:AF37"/>
    <mergeCell ref="H59:H60"/>
    <mergeCell ref="I77:K77"/>
    <mergeCell ref="AG36:AI36"/>
    <mergeCell ref="AD45:AF45"/>
    <mergeCell ref="AG45:AI45"/>
    <mergeCell ref="AG40:AI40"/>
    <mergeCell ref="AD46:AF46"/>
    <mergeCell ref="AG46:AI46"/>
    <mergeCell ref="AD54:AF54"/>
    <mergeCell ref="AG54:AI54"/>
    <mergeCell ref="AD57:AF57"/>
    <mergeCell ref="AG57:AI57"/>
    <mergeCell ref="AD59:AF59"/>
    <mergeCell ref="AG59:AI59"/>
    <mergeCell ref="AG30:AI30"/>
    <mergeCell ref="AG50:AI50"/>
    <mergeCell ref="AG69:AI69"/>
    <mergeCell ref="AA30:AC30"/>
    <mergeCell ref="AD42:AF42"/>
    <mergeCell ref="AG27:AI27"/>
    <mergeCell ref="AD36:AF36"/>
    <mergeCell ref="AD31:AF31"/>
    <mergeCell ref="B2:F5"/>
    <mergeCell ref="B6:F6"/>
    <mergeCell ref="B7:F7"/>
    <mergeCell ref="B8:F8"/>
    <mergeCell ref="G2:AR2"/>
    <mergeCell ref="G3:AR3"/>
    <mergeCell ref="G4:AR4"/>
    <mergeCell ref="G5:AR5"/>
    <mergeCell ref="G8:AR8"/>
    <mergeCell ref="G6:AR6"/>
    <mergeCell ref="G7:AR7"/>
    <mergeCell ref="R10:S10"/>
    <mergeCell ref="N10:O10"/>
    <mergeCell ref="T10:U10"/>
    <mergeCell ref="P10:Q10"/>
    <mergeCell ref="L10:M10"/>
    <mergeCell ref="F9:I10"/>
    <mergeCell ref="J10:K10"/>
    <mergeCell ref="F14:F15"/>
    <mergeCell ref="H14:H15"/>
    <mergeCell ref="AO12:AO13"/>
    <mergeCell ref="AP12:AP13"/>
    <mergeCell ref="AM12:AM13"/>
    <mergeCell ref="AA13:AC13"/>
    <mergeCell ref="AD13:AF13"/>
    <mergeCell ref="AG13:AI13"/>
    <mergeCell ref="AD25:AF25"/>
    <mergeCell ref="AG25:AI25"/>
    <mergeCell ref="C16:C17"/>
    <mergeCell ref="D16:D17"/>
    <mergeCell ref="AD17:AF17"/>
    <mergeCell ref="AG17:AI17"/>
    <mergeCell ref="X16:Z16"/>
    <mergeCell ref="AA16:AC16"/>
    <mergeCell ref="X17:Z17"/>
    <mergeCell ref="AA17:AC17"/>
    <mergeCell ref="AG16:AI16"/>
    <mergeCell ref="AQ16:AQ17"/>
    <mergeCell ref="AR16:AR17"/>
    <mergeCell ref="AN14:AN15"/>
    <mergeCell ref="AM14:AM15"/>
    <mergeCell ref="AO16:AO17"/>
    <mergeCell ref="AP16:AP17"/>
    <mergeCell ref="AN16:AN17"/>
    <mergeCell ref="AM16:AM17"/>
    <mergeCell ref="AL16:AL17"/>
    <mergeCell ref="X12:Z12"/>
    <mergeCell ref="AA12:AC12"/>
    <mergeCell ref="X14:Z14"/>
    <mergeCell ref="AA14:AC14"/>
    <mergeCell ref="X15:Z15"/>
    <mergeCell ref="AA15:AC15"/>
    <mergeCell ref="AD16:AF16"/>
    <mergeCell ref="AR12:AR13"/>
    <mergeCell ref="AQ12:AQ13"/>
    <mergeCell ref="X13:Z13"/>
    <mergeCell ref="AD12:AF12"/>
    <mergeCell ref="AG12:AI12"/>
    <mergeCell ref="AD14:AF14"/>
    <mergeCell ref="AG15:AI15"/>
    <mergeCell ref="AG24:AI24"/>
    <mergeCell ref="AD23:AF23"/>
    <mergeCell ref="AG23:AI23"/>
    <mergeCell ref="AD24:AF24"/>
    <mergeCell ref="AD32:AF32"/>
    <mergeCell ref="AG43:AI43"/>
    <mergeCell ref="AD47:AF47"/>
    <mergeCell ref="AD48:AF48"/>
    <mergeCell ref="AD49:AF49"/>
    <mergeCell ref="AD28:AF28"/>
    <mergeCell ref="AG28:AI28"/>
    <mergeCell ref="AD29:AF29"/>
    <mergeCell ref="AG29:AI29"/>
    <mergeCell ref="AG39:AI39"/>
    <mergeCell ref="AG33:AI33"/>
    <mergeCell ref="AG37:AI37"/>
    <mergeCell ref="AD34:AF34"/>
    <mergeCell ref="AG34:AI34"/>
    <mergeCell ref="AD35:AF35"/>
    <mergeCell ref="AG35:AI35"/>
    <mergeCell ref="AD26:AF26"/>
    <mergeCell ref="AD39:AF39"/>
    <mergeCell ref="AG26:AI26"/>
    <mergeCell ref="AD27:AF27"/>
    <mergeCell ref="AG22:AI22"/>
    <mergeCell ref="AD20:AF20"/>
    <mergeCell ref="AG20:AI20"/>
    <mergeCell ref="AD21:AF21"/>
    <mergeCell ref="AA18:AC18"/>
    <mergeCell ref="X19:Z19"/>
    <mergeCell ref="AD18:AF18"/>
    <mergeCell ref="AG18:AI18"/>
    <mergeCell ref="AD19:AF19"/>
    <mergeCell ref="AG19:AI19"/>
    <mergeCell ref="AA19:AC19"/>
    <mergeCell ref="AR74:AR75"/>
    <mergeCell ref="AN51:AN53"/>
    <mergeCell ref="AR46:AR49"/>
    <mergeCell ref="AO54:AO55"/>
    <mergeCell ref="AP54:AP55"/>
    <mergeCell ref="AQ54:AQ55"/>
    <mergeCell ref="AR54:AR55"/>
    <mergeCell ref="AO68:AO69"/>
    <mergeCell ref="AP68:AP69"/>
    <mergeCell ref="AQ68:AQ69"/>
    <mergeCell ref="AR68:AR69"/>
    <mergeCell ref="AN54:AN56"/>
    <mergeCell ref="AQ74:AQ75"/>
    <mergeCell ref="AR71:AR72"/>
    <mergeCell ref="AO46:AO49"/>
    <mergeCell ref="AP46:AP49"/>
    <mergeCell ref="AQ46:AQ49"/>
    <mergeCell ref="AQ71:AQ72"/>
    <mergeCell ref="AS71:AS72"/>
    <mergeCell ref="AT71:AT72"/>
    <mergeCell ref="AS74:AS75"/>
    <mergeCell ref="AT74:AT75"/>
    <mergeCell ref="AS68:AS69"/>
    <mergeCell ref="AT68:AT69"/>
    <mergeCell ref="AO9:AT10"/>
    <mergeCell ref="AS12:AS13"/>
    <mergeCell ref="AT12:AT13"/>
    <mergeCell ref="AS16:AS17"/>
    <mergeCell ref="AT16:AT17"/>
    <mergeCell ref="AS26:AS27"/>
    <mergeCell ref="AT26:AT27"/>
    <mergeCell ref="AS41:AS42"/>
    <mergeCell ref="AT41:AT42"/>
    <mergeCell ref="AS46:AS49"/>
    <mergeCell ref="AT46:AT49"/>
    <mergeCell ref="AS54:AS55"/>
    <mergeCell ref="AT54:AT55"/>
    <mergeCell ref="AS66:AS67"/>
    <mergeCell ref="AT66:AT67"/>
    <mergeCell ref="AO26:AO27"/>
    <mergeCell ref="AP26:AP27"/>
    <mergeCell ref="AP71:AP72"/>
    <mergeCell ref="AL20:AL22"/>
    <mergeCell ref="AL23:AL24"/>
    <mergeCell ref="AM23:AM24"/>
    <mergeCell ref="AL12:AL13"/>
    <mergeCell ref="AL14:AL15"/>
    <mergeCell ref="E23:E24"/>
    <mergeCell ref="AM66:AM67"/>
    <mergeCell ref="AL71:AL72"/>
    <mergeCell ref="AL74:AL75"/>
    <mergeCell ref="AM74:AM75"/>
    <mergeCell ref="AG47:AI47"/>
    <mergeCell ref="AG48:AI48"/>
    <mergeCell ref="AG51:AI51"/>
    <mergeCell ref="AG55:AI55"/>
    <mergeCell ref="AL57:AL58"/>
    <mergeCell ref="AL54:AL56"/>
    <mergeCell ref="AA32:AC32"/>
    <mergeCell ref="X33:Z33"/>
    <mergeCell ref="AA33:AC33"/>
    <mergeCell ref="AG14:AI14"/>
    <mergeCell ref="AD15:AF15"/>
    <mergeCell ref="AG21:AI21"/>
    <mergeCell ref="X18:Z18"/>
    <mergeCell ref="AD22:AF22"/>
  </mergeCells>
  <phoneticPr fontId="4" type="noConversion"/>
  <dataValidations count="1">
    <dataValidation type="list" allowBlank="1" showInputMessage="1" showErrorMessage="1" sqref="J44:J50 J54:J67 J69:J76 J14:J42">
      <formula1>$AV$2:$AV$5</formula1>
    </dataValidation>
  </dataValidations>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User</cp:lastModifiedBy>
  <cp:lastPrinted>2018-02-19T15:51:42Z</cp:lastPrinted>
  <dcterms:created xsi:type="dcterms:W3CDTF">2007-03-15T17:15:41Z</dcterms:created>
  <dcterms:modified xsi:type="dcterms:W3CDTF">2022-05-05T15:36:16Z</dcterms:modified>
</cp:coreProperties>
</file>