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08_Informes\Movilidad\"/>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AK65" i="16" l="1"/>
  <c r="W67" i="16"/>
  <c r="W57" i="16"/>
  <c r="W54" i="16"/>
  <c r="W55" i="16"/>
  <c r="AK67" i="16"/>
  <c r="AJ67" i="16"/>
  <c r="AK66" i="16"/>
  <c r="V63" i="16"/>
  <c r="W64" i="16"/>
  <c r="W53" i="16"/>
  <c r="V45" i="16"/>
  <c r="W36" i="16"/>
  <c r="AK29" i="16"/>
  <c r="AK25" i="16"/>
  <c r="W25" i="16"/>
  <c r="AJ65" i="16" l="1"/>
  <c r="AJ58" i="16"/>
  <c r="AJ18" i="16"/>
  <c r="V25" i="16"/>
  <c r="V51" i="16"/>
  <c r="AJ53" i="16"/>
  <c r="AJ52" i="16"/>
  <c r="AK52" i="16" s="1"/>
  <c r="V52" i="16"/>
  <c r="W52" i="16" s="1"/>
  <c r="W60" i="16"/>
  <c r="AJ60" i="16"/>
  <c r="V60" i="16"/>
  <c r="AJ59" i="16"/>
  <c r="W35" i="16"/>
  <c r="AJ30" i="16"/>
  <c r="K12" i="16"/>
  <c r="V12" i="16"/>
  <c r="W12" i="16" s="1"/>
  <c r="V43" i="16"/>
  <c r="AJ43" i="16"/>
  <c r="AK43" i="16" s="1"/>
  <c r="V23" i="16"/>
  <c r="V22" i="16"/>
  <c r="W22" i="16" s="1"/>
  <c r="K22" i="16"/>
  <c r="K21" i="16"/>
  <c r="AK37" i="16"/>
  <c r="AK75" i="16" l="1"/>
  <c r="AK74" i="16"/>
  <c r="AJ73" i="16"/>
  <c r="AK73" i="16" s="1"/>
  <c r="AJ71" i="16"/>
  <c r="V70" i="16"/>
  <c r="W70" i="16" s="1"/>
  <c r="V38" i="16"/>
  <c r="V18" i="16"/>
  <c r="AK53" i="16"/>
  <c r="V59" i="16"/>
  <c r="W59" i="16" s="1"/>
  <c r="V35" i="16"/>
  <c r="V34" i="16"/>
  <c r="W34" i="16" s="1"/>
  <c r="V19" i="16"/>
  <c r="W19" i="16" s="1"/>
  <c r="V30" i="16"/>
  <c r="V32" i="16"/>
  <c r="V33" i="16"/>
  <c r="V29" i="16"/>
  <c r="AK15" i="16"/>
  <c r="V15" i="16"/>
  <c r="W15" i="16" s="1"/>
  <c r="AK14" i="16"/>
  <c r="V14" i="16"/>
  <c r="W14" i="16" s="1"/>
  <c r="V24" i="16"/>
  <c r="W24" i="16" s="1"/>
  <c r="W23" i="16"/>
  <c r="V21" i="16"/>
  <c r="W21" i="16" s="1"/>
  <c r="V20" i="16"/>
  <c r="V36" i="16"/>
  <c r="AK27" i="16"/>
  <c r="W27" i="16"/>
  <c r="AJ27" i="16"/>
  <c r="V27" i="16"/>
  <c r="V75" i="16"/>
  <c r="V74" i="16"/>
  <c r="W74" i="16"/>
  <c r="AJ55" i="16"/>
  <c r="AK55" i="16" s="1"/>
  <c r="AJ54" i="16"/>
  <c r="AK54" i="16" s="1"/>
  <c r="AJ51" i="16"/>
  <c r="AK51" i="16" s="1"/>
  <c r="AJ50" i="16"/>
  <c r="AK50" i="16" s="1"/>
  <c r="AJ49" i="16"/>
  <c r="AK49" i="16" s="1"/>
  <c r="AJ48" i="16"/>
  <c r="AK48" i="16" s="1"/>
  <c r="AJ47" i="16"/>
  <c r="AK47" i="16" s="1"/>
  <c r="V49" i="16"/>
  <c r="V48" i="16"/>
  <c r="V47" i="16"/>
  <c r="K49" i="16"/>
  <c r="K48" i="16"/>
  <c r="K47" i="16"/>
  <c r="K46" i="16"/>
  <c r="AJ45" i="16"/>
  <c r="AK45" i="16" s="1"/>
  <c r="AJ38" i="16"/>
  <c r="AK38" i="16" s="1"/>
  <c r="AJ35" i="16"/>
  <c r="AK35" i="16" s="1"/>
  <c r="AK34" i="16"/>
  <c r="AJ28" i="16"/>
  <c r="AK18" i="16"/>
  <c r="W18" i="16"/>
  <c r="K18" i="16"/>
  <c r="AJ75" i="16"/>
  <c r="W75" i="16"/>
  <c r="AJ74" i="16"/>
  <c r="K43" i="16"/>
  <c r="AJ42" i="16"/>
  <c r="AJ40" i="16"/>
  <c r="AK40" i="16" s="1"/>
  <c r="AJ39" i="16"/>
  <c r="AK39" i="16" s="1"/>
  <c r="M42" i="16"/>
  <c r="W42" i="16" s="1"/>
  <c r="K42" i="16"/>
  <c r="K41" i="16"/>
  <c r="AJ36" i="16"/>
  <c r="AK36" i="16" s="1"/>
  <c r="AJ33" i="16"/>
  <c r="AK33" i="16" s="1"/>
  <c r="AJ32" i="16"/>
  <c r="AJ31" i="16"/>
  <c r="AK31" i="16" s="1"/>
  <c r="AK30" i="16"/>
  <c r="AJ29" i="16"/>
  <c r="K33" i="16"/>
  <c r="K32" i="16"/>
  <c r="M31" i="16"/>
  <c r="V31" i="16" s="1"/>
  <c r="K31" i="16"/>
  <c r="K30" i="16"/>
  <c r="K29" i="16"/>
  <c r="AJ26" i="16"/>
  <c r="AK26" i="16" s="1"/>
  <c r="AJ24" i="16"/>
  <c r="AK24" i="16" s="1"/>
  <c r="AJ23" i="16"/>
  <c r="AK23" i="16" s="1"/>
  <c r="K24" i="16"/>
  <c r="AJ22" i="16"/>
  <c r="AK22" i="16" s="1"/>
  <c r="AJ21" i="16"/>
  <c r="AK21" i="16" s="1"/>
  <c r="AJ20" i="16"/>
  <c r="AK20" i="16" s="1"/>
  <c r="K20" i="16"/>
  <c r="AJ19" i="16"/>
  <c r="AK19" i="16" s="1"/>
  <c r="M17" i="16"/>
  <c r="K17" i="16"/>
  <c r="K16" i="16"/>
  <c r="AJ15" i="16"/>
  <c r="AJ14" i="16"/>
  <c r="AJ56" i="16"/>
  <c r="AK56" i="16" s="1"/>
  <c r="AK57" i="16"/>
  <c r="AK58" i="16"/>
  <c r="AK59" i="16"/>
  <c r="AA60" i="16"/>
  <c r="AK60" i="16" s="1"/>
  <c r="AJ61" i="16"/>
  <c r="AK61" i="16" s="1"/>
  <c r="AJ63" i="16"/>
  <c r="AK63" i="16" s="1"/>
  <c r="AA64" i="16"/>
  <c r="AJ64" i="16" s="1"/>
  <c r="AK64" i="16" s="1"/>
  <c r="AJ69" i="16"/>
  <c r="AJ68" i="16"/>
  <c r="AJ70" i="16"/>
  <c r="AK70" i="16" s="1"/>
  <c r="AK71" i="16"/>
  <c r="V79" i="16"/>
  <c r="V80" i="16"/>
  <c r="V81" i="16"/>
  <c r="V82" i="16"/>
  <c r="V84" i="16"/>
  <c r="V89" i="16"/>
  <c r="V90" i="16"/>
  <c r="V78" i="16"/>
  <c r="K64" i="16"/>
  <c r="W16" i="16"/>
  <c r="AJ76" i="16"/>
  <c r="K76" i="16"/>
  <c r="V73" i="16"/>
  <c r="W73" i="16" s="1"/>
  <c r="AJ72" i="16"/>
  <c r="AK72" i="16" s="1"/>
  <c r="W71" i="16"/>
  <c r="V71" i="16"/>
  <c r="AK69" i="16"/>
  <c r="AK68" i="16"/>
  <c r="AJ66" i="16"/>
  <c r="V65" i="16"/>
  <c r="W65" i="16" s="1"/>
  <c r="W63" i="16"/>
  <c r="AJ62" i="16"/>
  <c r="M62" i="16"/>
  <c r="W62" i="16" s="1"/>
  <c r="K62" i="16"/>
  <c r="V61" i="16"/>
  <c r="W61" i="16" s="1"/>
  <c r="V58" i="16"/>
  <c r="W58" i="16" s="1"/>
  <c r="M57" i="16"/>
  <c r="K57" i="16"/>
  <c r="V56" i="16"/>
  <c r="W56" i="16" s="1"/>
  <c r="K55" i="16"/>
  <c r="M54" i="16"/>
  <c r="K54" i="16"/>
  <c r="M51" i="16"/>
  <c r="K51" i="16"/>
  <c r="V50" i="16"/>
  <c r="W50" i="16" s="1"/>
  <c r="AJ46" i="16"/>
  <c r="AK46" i="16" s="1"/>
  <c r="M46" i="16"/>
  <c r="V46" i="16" s="1"/>
  <c r="W45" i="16"/>
  <c r="AJ44" i="16"/>
  <c r="M44" i="16"/>
  <c r="V44" i="16" s="1"/>
  <c r="K44" i="16"/>
  <c r="V40" i="16"/>
  <c r="W40" i="16" s="1"/>
  <c r="V39" i="16"/>
  <c r="W39" i="16" s="1"/>
  <c r="W38" i="16"/>
  <c r="W28" i="16"/>
  <c r="X25" i="16"/>
  <c r="W37" i="16"/>
  <c r="AK32" i="16"/>
  <c r="AK28" i="16"/>
  <c r="W26" i="16"/>
  <c r="AK17" i="16"/>
  <c r="AJ17" i="16"/>
  <c r="AJ16" i="16"/>
  <c r="AK16" i="16"/>
  <c r="X12" i="16"/>
  <c r="AJ12" i="16" s="1"/>
  <c r="W17" i="16"/>
  <c r="W29" i="16" l="1"/>
  <c r="W46" i="16"/>
  <c r="AK12" i="16"/>
  <c r="W47" i="16"/>
  <c r="W20" i="16"/>
  <c r="W51" i="16"/>
  <c r="W48" i="16"/>
  <c r="W31" i="16"/>
  <c r="W43" i="16"/>
  <c r="W44" i="16"/>
  <c r="W33" i="16"/>
  <c r="W32" i="16"/>
  <c r="W49" i="16"/>
  <c r="W30" i="16"/>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<sst xmlns="http://schemas.openxmlformats.org/spreadsheetml/2006/main" count="3208" uniqueCount="2612">
  <si>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</si>
  <si>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</si>
  <si>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</si>
  <si>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</si>
  <si>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</si>
  <si>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</si>
  <si>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</si>
  <si>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</si>
  <si>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</si>
  <si>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</si>
  <si>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</si>
  <si>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</si>
  <si>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</si>
  <si>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</si>
  <si>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</si>
  <si>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</si>
  <si>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</si>
  <si>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</si>
  <si>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</si>
  <si>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</si>
  <si>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</si>
  <si>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</si>
  <si>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</si>
  <si>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</si>
  <si>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</si>
  <si>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</si>
  <si>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</si>
  <si>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</si>
  <si>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</si>
  <si>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</si>
  <si>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</si>
  <si>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</si>
  <si>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</si>
  <si>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</si>
  <si>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</si>
  <si>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</si>
  <si>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</si>
  <si>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</si>
  <si>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</si>
  <si>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</si>
  <si>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</si>
  <si>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</si>
  <si>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</si>
  <si>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</si>
  <si>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</si>
  <si>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</si>
  <si>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</si>
  <si>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</si>
  <si>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</si>
  <si>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</si>
  <si>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</si>
  <si>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</si>
  <si>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</si>
  <si>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</si>
  <si>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</si>
  <si>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</si>
  <si>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</si>
  <si>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</si>
  <si>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</si>
  <si>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</si>
  <si>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</si>
  <si>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</si>
  <si>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</si>
  <si>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</si>
  <si>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</si>
  <si>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</si>
  <si>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</si>
  <si>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</si>
  <si>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</si>
  <si>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</si>
  <si>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</si>
  <si>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</si>
  <si>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</si>
  <si>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</si>
  <si>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</si>
  <si>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</si>
  <si>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</si>
  <si>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</si>
  <si>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</si>
  <si>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</si>
  <si>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</si>
  <si>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</si>
  <si>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</si>
  <si>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</si>
  <si>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</si>
  <si>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</si>
  <si>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</si>
  <si>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</si>
  <si>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</si>
  <si>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</si>
  <si>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</si>
  <si>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</si>
  <si>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</si>
  <si>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</si>
  <si>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</si>
  <si>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</si>
  <si>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</si>
  <si>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</si>
  <si>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</si>
  <si>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</si>
  <si>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</si>
  <si>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</si>
  <si>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</si>
  <si>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</si>
  <si>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</si>
  <si>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</si>
  <si>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</si>
  <si>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</si>
  <si>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</si>
  <si>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</si>
  <si>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</si>
  <si>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</si>
  <si>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</si>
  <si>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</si>
  <si>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</si>
  <si>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</si>
  <si>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</si>
  <si>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</si>
  <si>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</si>
  <si>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</si>
  <si>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</si>
  <si>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</si>
  <si>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</si>
  <si>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</si>
  <si>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</si>
  <si>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</si>
  <si>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</si>
  <si>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</si>
  <si>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</si>
  <si>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</si>
  <si>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</si>
  <si>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</si>
  <si>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</si>
  <si>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</si>
  <si>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</si>
  <si>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</si>
  <si>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</si>
  <si>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</si>
  <si>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</si>
  <si>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</si>
  <si>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</si>
  <si>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</si>
  <si>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</si>
  <si>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</si>
  <si>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</si>
  <si>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</si>
  <si>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</si>
  <si>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</si>
  <si>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</si>
  <si>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</si>
  <si>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</si>
  <si>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</si>
  <si>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</si>
  <si>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</si>
  <si>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</si>
  <si>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</si>
  <si>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</si>
  <si>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</si>
  <si>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</si>
  <si>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</si>
  <si>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</si>
  <si>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</si>
  <si>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</si>
  <si>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</si>
  <si>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</si>
  <si>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</si>
  <si>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</si>
  <si>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</si>
  <si>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</si>
  <si>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</si>
  <si>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</si>
  <si>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</si>
  <si>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</si>
  <si>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</si>
  <si>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</si>
  <si>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</si>
  <si>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</si>
  <si>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</si>
  <si>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</si>
  <si>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</si>
  <si>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</si>
  <si>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</si>
  <si>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</si>
  <si>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</si>
  <si>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</si>
  <si>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</si>
  <si>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</si>
  <si>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</si>
  <si>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</si>
  <si>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</si>
  <si>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</si>
  <si>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</si>
  <si>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</si>
  <si>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</si>
  <si>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</si>
  <si>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</si>
  <si>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</si>
  <si>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</si>
  <si>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</si>
  <si>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</si>
  <si>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</si>
  <si>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</si>
  <si>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</si>
  <si>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</si>
  <si>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</si>
  <si>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</si>
  <si>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</si>
  <si>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</si>
  <si>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</si>
  <si>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</si>
  <si>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</si>
  <si>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</si>
  <si>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</si>
  <si>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</si>
  <si>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</si>
  <si>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</si>
  <si>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</si>
  <si>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</si>
  <si>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</si>
  <si>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</si>
  <si>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</si>
  <si>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</si>
  <si>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</si>
  <si>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</si>
  <si>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</si>
  <si>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</si>
  <si>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</si>
  <si>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</si>
  <si>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</si>
  <si>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</si>
  <si>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</si>
  <si>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</si>
  <si>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</si>
  <si>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</si>
  <si>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</si>
  <si>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</si>
  <si>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</si>
  <si>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</si>
  <si>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</si>
  <si>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</si>
  <si>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</si>
  <si>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</si>
  <si>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</si>
  <si>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</si>
  <si>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</si>
  <si>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</si>
  <si>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</si>
  <si>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</si>
  <si>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</si>
  <si>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</si>
  <si>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</si>
  <si>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</si>
  <si>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</si>
  <si>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</si>
  <si>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</si>
  <si>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</si>
  <si>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</si>
  <si>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</si>
  <si>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</si>
  <si>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</si>
  <si>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</si>
  <si>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</si>
  <si>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</si>
  <si>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</si>
  <si>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</si>
  <si>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</si>
  <si>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</si>
  <si>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</si>
  <si>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</si>
  <si>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</si>
  <si>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</si>
  <si>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</si>
  <si>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</si>
  <si>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</si>
  <si>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</si>
  <si>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</si>
  <si>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</si>
  <si>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</si>
  <si>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</si>
  <si>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</si>
  <si>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</si>
  <si>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</si>
  <si>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</si>
  <si>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</si>
  <si>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</si>
  <si>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</si>
  <si>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</si>
  <si>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</si>
  <si>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</si>
  <si>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</si>
  <si>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</si>
  <si>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</si>
  <si>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</si>
  <si>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</si>
  <si>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</si>
  <si>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</si>
  <si>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</si>
  <si>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</si>
  <si>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</si>
  <si>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</si>
  <si>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</si>
  <si>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</si>
  <si>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</si>
  <si>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</si>
  <si>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</si>
  <si>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</si>
  <si>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</si>
  <si>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</si>
  <si>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</si>
  <si>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</si>
  <si>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</si>
  <si>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</si>
  <si>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</si>
  <si>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</si>
  <si>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</si>
  <si>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</si>
  <si>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</si>
  <si>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</si>
  <si>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</si>
  <si>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</si>
  <si>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</si>
  <si>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</si>
  <si>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</si>
  <si>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</si>
  <si>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</si>
  <si>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</si>
  <si>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</si>
  <si>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</si>
  <si>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</si>
  <si>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</si>
  <si>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</si>
  <si>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</si>
  <si>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</si>
  <si>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</si>
  <si>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</si>
  <si>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</si>
  <si>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</si>
  <si>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</si>
  <si>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</si>
  <si>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</si>
  <si>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</si>
  <si>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</si>
  <si>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</si>
  <si>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</si>
  <si>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</si>
  <si>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</si>
  <si>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</si>
  <si>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</si>
  <si>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</si>
  <si>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</si>
  <si>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</si>
  <si>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</si>
  <si>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</si>
  <si>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</si>
  <si>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</si>
  <si>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</si>
  <si>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</si>
  <si>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</si>
  <si>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</si>
  <si>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</si>
  <si>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</si>
  <si>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</si>
  <si>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</si>
  <si>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</si>
  <si>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</si>
  <si>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</si>
  <si>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</si>
  <si>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</si>
  <si>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</si>
  <si>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</si>
  <si>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</si>
  <si>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</si>
  <si>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</si>
  <si>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</si>
  <si>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</si>
  <si>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</si>
  <si>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</si>
  <si>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</si>
  <si>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</si>
  <si>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</si>
  <si>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</si>
  <si>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</si>
  <si>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</si>
  <si>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</si>
  <si>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</si>
  <si>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</si>
  <si>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</si>
  <si>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</si>
  <si>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</si>
  <si>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</si>
  <si>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</si>
  <si>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</si>
  <si>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</si>
  <si>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</si>
  <si>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</si>
  <si>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</si>
  <si>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</si>
  <si>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</si>
  <si>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</si>
  <si>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</si>
  <si>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</si>
  <si>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</si>
  <si>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</si>
  <si>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</si>
  <si>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</si>
  <si>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</si>
  <si>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</si>
  <si>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</si>
  <si>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</si>
  <si>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</si>
  <si>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</si>
  <si>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</si>
  <si>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</si>
  <si>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</si>
  <si>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</si>
  <si>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</si>
  <si>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</si>
  <si>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</si>
  <si>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</si>
  <si>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</si>
  <si>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</si>
  <si>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</si>
  <si>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</si>
  <si>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</si>
  <si>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</si>
  <si>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</si>
  <si>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</si>
  <si>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</si>
  <si>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</si>
  <si>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</si>
  <si>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</si>
  <si>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</si>
  <si>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</si>
  <si>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</si>
  <si>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</si>
  <si>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</si>
  <si>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</si>
  <si>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</si>
  <si>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</si>
  <si>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</si>
  <si>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</si>
  <si>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</si>
  <si>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</si>
  <si>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</si>
  <si>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</si>
  <si>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</si>
  <si>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</si>
  <si>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</si>
  <si>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</si>
  <si>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</si>
  <si>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</si>
  <si>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</si>
  <si>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</si>
  <si>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</si>
  <si>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</si>
  <si>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</si>
  <si>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</si>
  <si>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</si>
  <si>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</si>
  <si>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</si>
  <si>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</si>
  <si>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</si>
  <si>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</si>
  <si>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</si>
  <si>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</si>
  <si>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</si>
  <si>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</si>
  <si>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</si>
  <si>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</si>
  <si>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</si>
  <si>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</si>
  <si>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</si>
  <si>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</si>
  <si>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</si>
  <si>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</si>
  <si>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</si>
  <si>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</si>
  <si>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</si>
  <si>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</si>
  <si>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</si>
  <si>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</si>
  <si>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</si>
  <si>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</si>
  <si>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</si>
  <si>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</si>
  <si>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</si>
  <si>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</si>
  <si>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</si>
  <si>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</si>
  <si>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</si>
  <si>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</si>
  <si>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</si>
  <si>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</si>
  <si>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</si>
  <si>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</si>
  <si>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</si>
  <si>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</si>
  <si>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</si>
  <si>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</si>
  <si>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</si>
  <si>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</si>
  <si>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</si>
  <si>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</si>
  <si>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</si>
  <si>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</si>
  <si>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</si>
  <si>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</si>
  <si>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</si>
  <si>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</si>
  <si>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</si>
  <si>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</si>
  <si>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</si>
  <si>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</si>
  <si>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</si>
  <si>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</si>
  <si>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</si>
  <si>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</si>
  <si>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</si>
  <si>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</si>
  <si>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</si>
  <si>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</si>
  <si>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</si>
  <si>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</si>
  <si>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</si>
  <si>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</si>
  <si>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</si>
  <si>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</si>
  <si>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</si>
  <si>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</si>
  <si>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</si>
  <si>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</si>
  <si>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</si>
  <si>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</si>
  <si>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</si>
  <si>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</si>
  <si>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</si>
  <si>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</si>
  <si>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</si>
  <si>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</si>
  <si>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</si>
  <si>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</si>
  <si>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</si>
  <si>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</si>
  <si>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</si>
  <si>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</si>
  <si>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</si>
  <si>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</si>
  <si>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</si>
  <si>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</si>
  <si>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</si>
  <si>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</si>
  <si>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</si>
  <si>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</si>
  <si>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</si>
  <si>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</si>
  <si>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</si>
  <si>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</si>
  <si>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</si>
  <si>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</si>
  <si>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</si>
  <si>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</si>
  <si>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</si>
  <si>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</si>
  <si>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</si>
  <si>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</si>
  <si>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</si>
  <si>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</si>
  <si>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</si>
  <si>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</si>
  <si>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</si>
  <si>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</si>
  <si>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</si>
  <si>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</si>
  <si>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</si>
  <si>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</si>
  <si>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</si>
  <si>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</si>
  <si>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</si>
  <si>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</si>
  <si>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</si>
  <si>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</si>
  <si>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</si>
  <si>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</si>
  <si>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</si>
  <si>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</si>
  <si>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</si>
  <si>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</si>
  <si>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</si>
  <si>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</si>
  <si>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</si>
  <si>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</si>
  <si>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</si>
  <si>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</si>
  <si>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</si>
  <si>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</si>
  <si>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</si>
  <si>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</si>
  <si>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</si>
  <si>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</si>
  <si>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</si>
  <si>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</si>
  <si>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</si>
  <si>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</si>
  <si>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</si>
  <si>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</si>
  <si>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</si>
  <si>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</si>
  <si>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</si>
  <si>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</si>
  <si>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</si>
  <si>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</si>
  <si>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</si>
  <si>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</si>
  <si>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</si>
  <si>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</si>
  <si>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</si>
  <si>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</si>
  <si>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</si>
  <si>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</si>
  <si>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</si>
  <si>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</si>
  <si>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</si>
  <si>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</si>
  <si>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</si>
  <si>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</si>
  <si>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</si>
  <si>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</si>
  <si>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</si>
  <si>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</si>
  <si>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</si>
  <si>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</si>
  <si>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</si>
  <si>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</si>
  <si>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</si>
  <si>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</si>
  <si>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</si>
  <si>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</si>
  <si>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</si>
  <si>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</si>
  <si>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</si>
  <si>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</si>
  <si>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</si>
  <si>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</si>
  <si>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</si>
  <si>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</si>
  <si>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</si>
  <si>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</si>
  <si>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</si>
  <si>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</si>
  <si>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</si>
  <si>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</si>
  <si>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</si>
  <si>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</si>
  <si>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</si>
  <si>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</si>
  <si>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</si>
  <si>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</si>
  <si>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</si>
  <si>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</si>
  <si>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</si>
  <si>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</si>
  <si>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</si>
  <si>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</si>
  <si>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</si>
  <si>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</si>
  <si>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</si>
  <si>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</si>
  <si>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</si>
  <si>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</si>
  <si>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</si>
  <si>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</si>
  <si>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</si>
  <si>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</si>
  <si>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</si>
  <si>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</si>
  <si>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</si>
  <si>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</si>
  <si>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</si>
  <si>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</si>
  <si>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</si>
  <si>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</si>
  <si>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</si>
  <si>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</si>
  <si>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</si>
  <si>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</si>
  <si>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</si>
  <si>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</si>
  <si>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</si>
  <si>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</si>
  <si>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</si>
  <si>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</si>
  <si>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</si>
  <si>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</si>
  <si>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</si>
  <si>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</si>
  <si>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</si>
  <si>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</si>
  <si>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</si>
  <si>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</si>
  <si>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</si>
  <si>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</si>
  <si>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</si>
  <si>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</si>
  <si>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</si>
  <si>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</si>
  <si>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</si>
  <si>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</si>
  <si>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</si>
  <si>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</si>
  <si>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</si>
  <si>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</si>
  <si>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</si>
  <si>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</si>
  <si>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</si>
  <si>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</si>
  <si>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</si>
  <si>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</si>
  <si>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</si>
  <si>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</si>
  <si>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</si>
  <si>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</si>
  <si>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</si>
  <si>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</si>
  <si>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</si>
  <si>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</si>
  <si>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</si>
  <si>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</si>
  <si>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</si>
  <si>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</si>
  <si>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</si>
  <si>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</si>
  <si>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</si>
  <si>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</si>
  <si>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</si>
  <si>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</si>
  <si>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</si>
  <si>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</si>
  <si>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</si>
  <si>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</si>
  <si>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</si>
  <si>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</si>
  <si>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</si>
  <si>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</si>
  <si>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</si>
  <si>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</si>
  <si>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</si>
  <si>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</si>
  <si>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</si>
  <si>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</si>
  <si>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</si>
  <si>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</si>
  <si>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</si>
  <si>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</si>
  <si>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</si>
  <si>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</si>
  <si>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</si>
  <si>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</si>
  <si>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</si>
  <si>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</si>
  <si>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</si>
  <si>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</si>
  <si>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</si>
  <si>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</si>
  <si>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</si>
  <si>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</si>
  <si>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</si>
  <si>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</si>
  <si>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</si>
  <si>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</si>
  <si>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</si>
  <si>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</si>
  <si>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</si>
  <si>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</si>
  <si>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</si>
  <si>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</si>
  <si>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</si>
  <si>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</si>
  <si>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</si>
  <si>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</si>
  <si>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</si>
  <si>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</si>
  <si>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</si>
  <si>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</si>
  <si>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</si>
  <si>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</si>
  <si>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</si>
  <si>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</si>
  <si>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</si>
  <si>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</si>
  <si>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</si>
  <si>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</si>
  <si>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</si>
  <si>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</si>
  <si>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</si>
  <si>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</si>
  <si>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</si>
  <si>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</si>
  <si>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</si>
  <si>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</si>
  <si>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</si>
  <si>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</si>
  <si>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</si>
  <si>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</si>
  <si>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</si>
  <si>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</si>
  <si>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</si>
  <si>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</si>
  <si>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</si>
  <si>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</si>
  <si>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</si>
  <si>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</si>
  <si>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</si>
  <si>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</si>
  <si>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</si>
  <si>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</si>
  <si>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</si>
  <si>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</si>
  <si>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</si>
  <si>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</si>
  <si>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</si>
  <si>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</si>
  <si>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</si>
  <si>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</si>
  <si>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</si>
  <si>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</si>
  <si>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</si>
  <si>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</si>
  <si>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</si>
  <si>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</si>
  <si>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</si>
  <si>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</si>
  <si>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</si>
  <si>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</si>
  <si>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</si>
  <si>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</si>
  <si>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</si>
  <si>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</si>
  <si>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</si>
  <si>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</si>
  <si>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</si>
  <si>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</si>
  <si>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</si>
  <si>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</si>
  <si>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</si>
  <si>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</si>
  <si>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</si>
  <si>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</si>
  <si>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</si>
  <si>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</si>
  <si>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</si>
  <si>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</si>
  <si>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</si>
  <si>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</si>
  <si>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</si>
  <si>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</si>
  <si>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</si>
  <si>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</si>
  <si>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</si>
  <si>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</si>
  <si>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</si>
  <si>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</si>
  <si>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</si>
  <si>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</si>
  <si>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</si>
  <si>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</si>
  <si>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</si>
  <si>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</si>
  <si>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</si>
  <si>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</si>
  <si>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</si>
  <si>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</si>
  <si>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</si>
  <si>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</si>
  <si>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</si>
  <si>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</si>
  <si>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</si>
  <si>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</si>
  <si>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</si>
  <si>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</si>
  <si>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</si>
  <si>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</si>
  <si>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</si>
  <si>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</si>
  <si>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</si>
  <si>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</si>
  <si>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</si>
  <si>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</si>
  <si>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</si>
  <si>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</si>
  <si>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</si>
  <si>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</si>
  <si>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</si>
  <si>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</si>
  <si>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</si>
  <si>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</si>
  <si>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</si>
  <si>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</si>
  <si>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</si>
  <si>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</si>
  <si>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</si>
  <si>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</si>
  <si>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</si>
  <si>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</si>
  <si>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</si>
  <si>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</si>
  <si>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</si>
  <si>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</si>
  <si>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</si>
  <si>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</si>
  <si>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</si>
  <si>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</si>
  <si>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</si>
  <si>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</si>
  <si>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</si>
  <si>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</si>
  <si>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</si>
  <si>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</si>
  <si>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</si>
  <si>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</si>
  <si>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</si>
  <si>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</si>
  <si>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</si>
  <si>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</si>
  <si>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</si>
  <si>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</si>
  <si>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</si>
  <si>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</si>
  <si>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</si>
  <si>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</si>
  <si>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</si>
  <si>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</si>
  <si>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</si>
  <si>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</si>
  <si>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</si>
  <si>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</si>
  <si>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</si>
  <si>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</si>
  <si>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</si>
  <si>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</si>
  <si>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</si>
  <si>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</si>
  <si>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</si>
  <si>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</si>
  <si>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</si>
  <si>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</si>
  <si>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</si>
  <si>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</si>
  <si>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</si>
  <si>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</si>
  <si>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</si>
  <si>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</si>
  <si>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</si>
  <si>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</si>
  <si>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</si>
  <si>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</si>
  <si>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</si>
  <si>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</si>
  <si>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</si>
  <si>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</si>
  <si>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</si>
  <si>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</si>
  <si>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</si>
  <si>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</si>
  <si>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</si>
  <si>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</si>
  <si>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</si>
  <si>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</si>
  <si>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</si>
  <si>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</si>
  <si>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</si>
  <si>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</si>
  <si>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</si>
  <si>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</si>
  <si>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</si>
  <si>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</si>
  <si>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</si>
  <si>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</si>
  <si>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</si>
  <si>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</si>
  <si>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</si>
  <si>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</si>
  <si>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</si>
  <si>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</si>
  <si>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</si>
  <si>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</si>
  <si>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</si>
  <si>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</si>
  <si>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</si>
  <si>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</si>
  <si>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</si>
  <si>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</si>
  <si>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</si>
  <si>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</si>
  <si>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</si>
  <si>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</si>
  <si>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</si>
  <si>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</si>
  <si>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</si>
  <si>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</si>
  <si>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</si>
  <si>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</si>
  <si>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</si>
  <si>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</si>
  <si>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</si>
  <si>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</si>
  <si>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</si>
  <si>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</si>
  <si>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</si>
  <si>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</si>
  <si>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</si>
  <si>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</si>
  <si>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</si>
  <si>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</si>
  <si>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</si>
  <si>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</si>
  <si>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</si>
  <si>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</si>
  <si>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</si>
  <si>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</si>
  <si>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</si>
  <si>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</si>
  <si>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</si>
  <si>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</si>
  <si>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</si>
  <si>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</si>
  <si>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</si>
  <si>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</si>
  <si>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</si>
  <si>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</si>
  <si>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</si>
  <si>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</si>
  <si>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</si>
  <si>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</si>
  <si>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</si>
  <si>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</si>
  <si>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</si>
  <si>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</si>
  <si>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</si>
  <si>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</si>
  <si>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</si>
  <si>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</si>
  <si>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</si>
  <si>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</si>
  <si>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</si>
  <si>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</si>
  <si>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</si>
  <si>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</si>
  <si>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</si>
  <si>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</si>
  <si>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</si>
  <si>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</si>
  <si>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</si>
  <si>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</si>
  <si>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</si>
  <si>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</si>
  <si>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</si>
  <si>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</si>
  <si>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</si>
  <si>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</si>
  <si>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</si>
  <si>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</si>
  <si>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</si>
  <si>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</si>
  <si>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</si>
  <si>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</si>
  <si>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</si>
  <si>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</si>
  <si>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</si>
  <si>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</si>
  <si>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</si>
  <si>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</si>
  <si>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</si>
  <si>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</si>
  <si>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</si>
  <si>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</si>
  <si>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</si>
  <si>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</si>
  <si>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</si>
  <si>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</si>
  <si>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</si>
  <si>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</si>
  <si>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</si>
  <si>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</si>
  <si>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</si>
  <si>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</si>
  <si>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</si>
  <si>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</si>
  <si>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</si>
  <si>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</si>
  <si>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</si>
  <si>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</si>
  <si>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</si>
  <si>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</si>
  <si>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</si>
  <si>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</si>
  <si>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</si>
  <si>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</si>
  <si>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</si>
  <si>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</si>
  <si>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</si>
  <si>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</si>
  <si>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</si>
  <si>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</si>
  <si>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</si>
  <si>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</si>
  <si>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</si>
  <si>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</si>
  <si>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</si>
  <si>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</si>
  <si>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</si>
  <si>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</si>
  <si>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</si>
  <si>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</si>
  <si>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</si>
  <si>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</si>
  <si>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</si>
  <si>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</si>
  <si>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</si>
  <si>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</si>
  <si>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</si>
  <si>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</si>
  <si>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</si>
  <si>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</si>
  <si>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</si>
  <si>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</si>
  <si>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</si>
  <si>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</si>
  <si>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</si>
  <si>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</si>
  <si>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</si>
  <si>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</si>
  <si>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</si>
  <si>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</si>
  <si>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</si>
  <si>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</si>
  <si>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</si>
  <si>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</si>
  <si>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</si>
  <si>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</si>
  <si>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</si>
  <si>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</si>
  <si>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</si>
  <si>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</si>
  <si>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</si>
  <si>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</si>
  <si>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</si>
  <si>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</si>
  <si>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</si>
  <si>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</si>
  <si>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</si>
  <si>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</si>
  <si>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</si>
  <si>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</si>
  <si>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</si>
  <si>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</si>
  <si>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</si>
  <si>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</si>
  <si>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</si>
  <si>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</si>
  <si>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</si>
  <si>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</si>
  <si>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</si>
  <si>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</si>
  <si>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</si>
  <si>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</si>
  <si>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</si>
  <si>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</si>
  <si>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</si>
  <si>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</si>
  <si>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</si>
  <si>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</si>
  <si>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</si>
  <si>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</si>
  <si>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</si>
  <si>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</si>
  <si>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</si>
  <si>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</si>
  <si>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</si>
  <si>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</si>
  <si>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</si>
  <si>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</si>
  <si>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</si>
  <si>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</si>
  <si>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</si>
  <si>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</si>
  <si>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</si>
  <si>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</si>
  <si>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</si>
  <si>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</si>
  <si>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</si>
  <si>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</si>
  <si>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</si>
  <si>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</si>
  <si>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</si>
  <si>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</si>
  <si>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</si>
  <si>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</si>
  <si>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</si>
  <si>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</si>
  <si>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</si>
  <si>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</si>
  <si>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</si>
  <si>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</si>
  <si>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</si>
  <si>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</si>
  <si>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</si>
  <si>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</si>
  <si>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</si>
  <si>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</si>
  <si>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</si>
  <si>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</si>
  <si>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</si>
  <si>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</si>
  <si>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</si>
  <si>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</si>
  <si>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</si>
  <si>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</si>
  <si>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</si>
  <si>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</si>
  <si>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</si>
  <si>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</si>
  <si>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</si>
  <si>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</si>
  <si>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</si>
  <si>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</si>
  <si>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</si>
  <si>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</si>
  <si>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</si>
  <si>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</si>
  <si>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</si>
  <si>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</si>
  <si>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</si>
  <si>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</si>
  <si>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</si>
  <si>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</si>
  <si>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</si>
  <si>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</si>
  <si>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</si>
  <si>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</si>
  <si>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</si>
  <si>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</si>
  <si>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</si>
  <si>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</si>
  <si>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</si>
  <si>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</si>
  <si>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</si>
  <si>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</si>
  <si>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</si>
  <si>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</si>
  <si>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</si>
  <si>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</si>
  <si>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</si>
  <si>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</si>
  <si>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</si>
  <si>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</si>
  <si>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</si>
  <si>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</si>
  <si>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</si>
  <si>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</si>
  <si>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</si>
  <si>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</si>
  <si>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</si>
  <si>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</si>
  <si>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</si>
  <si>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</si>
  <si>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</si>
  <si>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</si>
  <si>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</si>
  <si>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</si>
  <si>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</si>
  <si>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</si>
  <si>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</si>
  <si>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</si>
  <si>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</si>
  <si>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</si>
  <si>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</si>
  <si>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</si>
  <si>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</si>
  <si>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</si>
  <si>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</si>
  <si>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</si>
  <si>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</si>
  <si>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</si>
  <si>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</si>
  <si>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</si>
  <si>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</si>
  <si>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</si>
  <si>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</si>
  <si>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</si>
  <si>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</si>
  <si>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</si>
  <si>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</si>
  <si>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</si>
  <si>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</si>
  <si>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</si>
  <si>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</si>
  <si>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</si>
  <si>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</si>
  <si>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</si>
  <si>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</si>
  <si>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</si>
  <si>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</si>
  <si>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</si>
  <si>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</si>
  <si>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</si>
  <si>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</si>
  <si>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</si>
  <si>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</si>
  <si>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</si>
  <si>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</si>
  <si>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</si>
  <si>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</si>
  <si>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</si>
  <si>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</si>
  <si>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</si>
  <si>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</si>
  <si>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</si>
  <si>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</si>
  <si>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</si>
  <si>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</si>
  <si>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</si>
  <si>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</si>
  <si>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</si>
  <si>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</si>
  <si>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</si>
  <si>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</si>
  <si>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</si>
  <si>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</si>
  <si>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</si>
  <si>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</si>
  <si>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</si>
  <si>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</si>
  <si>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</si>
  <si>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</si>
  <si>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</si>
  <si>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</si>
  <si>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</si>
  <si>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</si>
  <si>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</si>
  <si>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</si>
  <si>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</si>
  <si>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</si>
  <si>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</si>
  <si>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</si>
  <si>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</si>
  <si>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</si>
  <si>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</si>
  <si>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</si>
  <si>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</si>
  <si>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</si>
  <si>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</si>
  <si>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</si>
  <si>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</si>
  <si>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</si>
  <si>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</si>
  <si>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</si>
  <si>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</si>
  <si>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</si>
  <si>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</si>
  <si>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</si>
  <si>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</si>
  <si>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</si>
  <si>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</si>
  <si>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</si>
  <si>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</si>
  <si>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</si>
  <si>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</si>
  <si>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</si>
  <si>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</si>
  <si>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</si>
  <si>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</si>
  <si>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</si>
  <si>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</si>
  <si>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</si>
  <si>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</si>
  <si>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</si>
  <si>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</si>
  <si>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</si>
  <si>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</si>
  <si>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</si>
  <si>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</si>
  <si>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</si>
  <si>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</si>
  <si>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</si>
  <si>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</si>
  <si>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</si>
  <si>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</si>
  <si>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</si>
  <si>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</si>
  <si>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</si>
  <si>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</si>
  <si>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</si>
  <si>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</si>
  <si>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</si>
  <si>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</si>
  <si>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</si>
  <si>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</si>
  <si>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</si>
  <si>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</si>
  <si>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</si>
  <si>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</si>
  <si>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</si>
  <si>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</si>
  <si>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</si>
  <si>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</si>
  <si>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</si>
  <si>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</si>
  <si>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</si>
  <si>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</si>
  <si>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</si>
  <si>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</si>
  <si>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</si>
  <si>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</si>
  <si>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</si>
  <si>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</si>
  <si>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</si>
  <si>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</si>
  <si>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</si>
  <si>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</si>
  <si>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</si>
  <si>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</si>
  <si>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</si>
  <si>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</si>
  <si>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</si>
  <si>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</si>
  <si>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</si>
  <si>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</si>
  <si>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</si>
  <si>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</si>
  <si>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</si>
  <si>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</si>
  <si>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</si>
  <si>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</si>
  <si>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</si>
  <si>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</si>
  <si>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</si>
  <si>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</si>
  <si>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</si>
  <si>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</si>
  <si>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</si>
  <si>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</si>
  <si>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</si>
  <si>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</si>
  <si>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</si>
  <si>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</si>
  <si>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</si>
  <si>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</si>
  <si>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</si>
  <si>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</si>
  <si>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</si>
  <si>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</si>
  <si>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</si>
  <si>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</si>
  <si>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</si>
  <si>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</si>
  <si>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</si>
  <si>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</si>
  <si>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</si>
  <si>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</si>
  <si>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</si>
  <si>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</si>
  <si>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</si>
  <si>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</si>
  <si>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</si>
  <si>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</si>
  <si>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</si>
  <si>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</si>
  <si>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</si>
  <si>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</si>
  <si>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</si>
  <si>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</si>
  <si>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</si>
  <si>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</si>
  <si>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</si>
  <si>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</si>
  <si>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</si>
  <si>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</si>
  <si>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</si>
  <si>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</si>
  <si>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</si>
  <si>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</si>
  <si>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</si>
  <si>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</si>
  <si>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</si>
  <si>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</si>
  <si>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</si>
  <si>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</si>
  <si>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</si>
  <si>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</si>
  <si>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</si>
  <si>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</si>
  <si>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</si>
  <si>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</si>
  <si>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</si>
  <si>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</si>
  <si>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</si>
  <si>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</si>
  <si>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</si>
  <si>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</si>
  <si>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</si>
  <si>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</si>
  <si>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</si>
  <si>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</si>
  <si>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</si>
  <si>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</si>
  <si>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</si>
  <si>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</si>
  <si>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</si>
  <si>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</si>
  <si>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</si>
  <si>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</si>
  <si>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</si>
  <si>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</si>
  <si>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</si>
  <si>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</si>
  <si>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</si>
  <si>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</si>
  <si>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</si>
  <si>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</si>
  <si>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</si>
  <si>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</si>
  <si>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</si>
  <si>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</si>
  <si>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</si>
  <si>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</si>
  <si>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</si>
  <si>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</si>
  <si>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</si>
  <si>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</si>
  <si>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</si>
  <si>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</si>
  <si>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</si>
  <si>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</si>
  <si>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</si>
  <si>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</si>
  <si>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</si>
  <si>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</si>
  <si>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</si>
  <si>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</si>
  <si>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</si>
  <si>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</si>
  <si>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</si>
  <si>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</si>
  <si>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</si>
  <si>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</si>
  <si>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</si>
  <si>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</si>
  <si>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</si>
  <si>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</si>
  <si>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</si>
  <si>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</si>
  <si>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</si>
  <si>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</si>
  <si>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</si>
  <si>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</si>
  <si>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</si>
  <si>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</si>
  <si>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</si>
  <si>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</si>
  <si>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</si>
  <si>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</si>
  <si>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</si>
  <si>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</si>
  <si>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</si>
  <si>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</si>
  <si>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</si>
  <si>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</si>
  <si>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</si>
  <si>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</si>
  <si>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</si>
  <si>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</si>
  <si>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</si>
  <si>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</si>
  <si>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</si>
  <si>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</si>
  <si>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</si>
  <si>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</si>
  <si>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</si>
  <si>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</si>
  <si>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</si>
  <si>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</si>
  <si>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</si>
  <si>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</si>
  <si>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</si>
  <si>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</si>
  <si>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</si>
  <si>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</si>
  <si>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</si>
  <si>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</si>
  <si>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</si>
  <si>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</si>
  <si>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</si>
  <si>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</si>
  <si>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</si>
  <si>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</si>
  <si>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</si>
  <si>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</si>
  <si>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</si>
  <si>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</si>
  <si>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</si>
  <si>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</si>
  <si>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</si>
  <si>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</si>
  <si>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</si>
  <si>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</si>
  <si>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</si>
  <si>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</si>
  <si>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</si>
  <si>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</si>
  <si>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</si>
  <si>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</si>
  <si>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</si>
  <si>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</si>
  <si>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</si>
  <si>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</si>
  <si>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</si>
  <si>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</si>
  <si>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</si>
  <si>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</si>
  <si>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</si>
  <si>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</si>
  <si>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</si>
  <si>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</si>
  <si>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</si>
  <si>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</si>
  <si>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</si>
  <si>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</si>
  <si>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</si>
  <si>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</si>
  <si>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</si>
  <si>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</si>
  <si>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</si>
  <si>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</si>
  <si>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</si>
  <si>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</si>
  <si>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</si>
  <si>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</si>
  <si>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</si>
  <si>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</si>
  <si>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</si>
  <si>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</si>
  <si>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</si>
  <si>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</si>
  <si>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</si>
  <si>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</si>
  <si>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</si>
  <si>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</si>
  <si>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</si>
  <si>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</si>
  <si>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</si>
  <si>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</si>
  <si>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</si>
  <si>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</si>
  <si>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</si>
  <si>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</si>
  <si>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</si>
  <si>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</si>
  <si>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</si>
  <si>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</si>
  <si>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</si>
  <si>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</si>
  <si>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</si>
  <si>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</si>
  <si>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</si>
  <si>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</si>
  <si>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</si>
  <si>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</si>
  <si>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</si>
  <si>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</si>
  <si>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</si>
  <si>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</si>
  <si>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</si>
  <si>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</si>
  <si>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</si>
  <si>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</si>
  <si>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</si>
  <si>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</si>
  <si>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</si>
  <si>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</si>
  <si>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</si>
  <si>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</si>
  <si>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</si>
  <si>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</si>
  <si>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</si>
  <si>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</si>
  <si>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</si>
  <si>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</si>
  <si>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</si>
  <si>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</si>
  <si>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</si>
  <si>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</si>
  <si>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</si>
  <si>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</si>
  <si>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</si>
  <si>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</si>
  <si>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</si>
  <si>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</si>
  <si>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</si>
  <si>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</si>
  <si>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</si>
  <si>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</si>
  <si>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</si>
  <si>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</si>
  <si>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</si>
  <si>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</si>
  <si>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</si>
  <si>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</si>
  <si>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</si>
  <si>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</si>
  <si>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</si>
  <si>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</si>
  <si>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</si>
  <si>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</si>
  <si>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</si>
  <si>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</si>
  <si>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</si>
  <si>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</si>
  <si>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</si>
  <si>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</si>
  <si>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</si>
  <si>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</si>
  <si>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</si>
  <si>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</si>
  <si>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</si>
  <si>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</si>
  <si>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</si>
  <si>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</si>
  <si>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</si>
  <si>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</si>
  <si>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</si>
  <si>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</si>
  <si>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</si>
  <si>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</si>
  <si>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</si>
  <si>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</si>
  <si>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</si>
  <si>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</si>
  <si>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</si>
  <si>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</si>
  <si>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</si>
  <si>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</si>
  <si>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</si>
  <si>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</si>
  <si>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</si>
  <si>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</si>
  <si>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</si>
  <si>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</si>
  <si>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</si>
  <si>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</si>
  <si>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</si>
  <si>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</si>
  <si>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</si>
  <si>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</si>
  <si>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</si>
  <si>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</si>
  <si>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</si>
  <si>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</si>
  <si>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</si>
  <si>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</si>
  <si>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</si>
  <si>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</si>
  <si>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</si>
  <si>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</si>
  <si>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</si>
  <si>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</si>
  <si>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</si>
  <si>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</si>
  <si>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</si>
  <si>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</si>
  <si>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</si>
  <si>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</si>
  <si>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</si>
  <si>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</si>
  <si>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</si>
  <si>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</si>
  <si>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</si>
  <si>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</si>
  <si>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</si>
  <si>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</si>
  <si>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</si>
  <si>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</si>
  <si>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</si>
  <si>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</si>
  <si>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</si>
  <si>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</si>
  <si>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</si>
  <si>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</si>
  <si>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</si>
  <si>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</si>
  <si>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</si>
  <si>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</si>
  <si>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</si>
  <si>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</si>
  <si>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</si>
  <si>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</si>
  <si>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</si>
  <si>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</si>
  <si>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</si>
  <si>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</si>
  <si>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</si>
  <si>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</si>
  <si>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</si>
  <si>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</si>
  <si>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</si>
  <si>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</si>
  <si>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</si>
  <si>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</si>
  <si>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</si>
  <si>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</si>
  <si>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</si>
  <si>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</si>
  <si>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</si>
  <si>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</si>
  <si>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</si>
  <si>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</si>
  <si>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</si>
  <si>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</si>
  <si>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</si>
  <si>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</si>
  <si>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</si>
  <si>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</si>
  <si>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</si>
  <si>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</si>
  <si>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</si>
  <si>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</si>
  <si>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</si>
  <si>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</si>
  <si>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</si>
  <si>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</si>
  <si>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</si>
  <si>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</si>
  <si>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</si>
  <si>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</si>
  <si>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</si>
  <si>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</si>
  <si>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</si>
  <si>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</si>
  <si>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</si>
  <si>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</si>
  <si>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</si>
  <si>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</si>
  <si>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</si>
  <si>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</si>
  <si>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</si>
  <si>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</si>
  <si>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</si>
  <si>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</si>
  <si>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</si>
  <si>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</si>
  <si>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</si>
  <si>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</si>
  <si>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</si>
  <si>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</si>
  <si>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</si>
  <si>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</si>
  <si>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</si>
  <si>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</si>
  <si>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</si>
  <si>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</si>
  <si>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</si>
  <si>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</si>
  <si>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</si>
  <si>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</si>
  <si>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</si>
  <si>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</si>
  <si>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</si>
  <si>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</si>
  <si>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</si>
  <si>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</si>
  <si>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</si>
  <si>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</si>
  <si>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</si>
  <si>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</si>
  <si>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</si>
  <si>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</si>
  <si>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</si>
  <si>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</si>
  <si>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</si>
  <si>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</si>
  <si>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</si>
  <si>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</si>
  <si>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</si>
  <si>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</si>
  <si>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</si>
  <si>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</si>
  <si>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</si>
  <si>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</si>
  <si>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</si>
  <si>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</si>
  <si>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</si>
  <si>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</si>
  <si>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</si>
  <si>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</si>
  <si>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</si>
  <si>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</si>
  <si>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</si>
  <si>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</si>
  <si>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</si>
  <si>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</si>
  <si>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</si>
  <si>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</si>
  <si>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</si>
  <si>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</si>
  <si>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</si>
  <si>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</si>
  <si>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</si>
  <si>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</si>
  <si>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</si>
  <si>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</si>
  <si>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</si>
  <si>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</si>
  <si>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</si>
  <si>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</si>
  <si>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</si>
  <si>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</si>
  <si>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</si>
  <si>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</si>
  <si>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</si>
  <si>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</si>
  <si>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</si>
  <si>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</si>
  <si>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</si>
  <si>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</si>
  <si>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</si>
  <si>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</si>
  <si>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</si>
  <si>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</si>
  <si>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</si>
  <si>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</si>
  <si>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</si>
  <si>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</si>
  <si>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</si>
  <si>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</si>
  <si>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</si>
  <si>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</si>
  <si>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</si>
  <si>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</si>
  <si>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</si>
  <si>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</si>
  <si>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</si>
  <si>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</si>
  <si>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</si>
  <si>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</si>
  <si>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</si>
  <si>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</si>
  <si>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</si>
  <si>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</si>
  <si>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</si>
  <si>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</si>
  <si>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</si>
  <si>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</si>
  <si>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</si>
  <si>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</si>
  <si>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</si>
  <si>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</si>
  <si>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</si>
  <si>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</si>
  <si>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</si>
  <si>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</si>
  <si>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</si>
  <si>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</si>
  <si>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</si>
  <si>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</si>
  <si>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</si>
  <si>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</si>
  <si>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</si>
  <si>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</si>
  <si>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</si>
  <si>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</si>
  <si>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</si>
  <si>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</si>
  <si>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</si>
  <si>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</si>
  <si>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</si>
  <si>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</si>
  <si>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</si>
  <si>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</si>
  <si>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</si>
  <si>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</si>
  <si>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</si>
  <si>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</si>
  <si>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</si>
  <si>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</si>
  <si>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</si>
  <si>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</si>
  <si>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</si>
  <si>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</si>
  <si>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</si>
  <si>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</si>
  <si>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</si>
  <si>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</si>
  <si>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</si>
  <si>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</si>
  <si>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</si>
  <si>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</si>
  <si>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</si>
  <si>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</si>
  <si>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</si>
  <si>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</si>
  <si>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</si>
  <si>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</si>
  <si>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</si>
  <si>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</si>
  <si>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</si>
  <si>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</si>
  <si>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</si>
  <si>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</si>
  <si>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</si>
  <si>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</si>
  <si>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</si>
  <si>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</si>
  <si>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</si>
  <si>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</si>
  <si>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</si>
  <si>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</si>
  <si>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</si>
  <si>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</si>
  <si>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</si>
  <si>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</si>
  <si>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</si>
  <si>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</si>
  <si>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</si>
  <si>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</si>
  <si>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</si>
  <si>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</si>
  <si>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</si>
  <si>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</si>
  <si>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</si>
  <si>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</si>
  <si>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</si>
  <si>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</si>
  <si>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</si>
  <si>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</si>
  <si>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</si>
  <si>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</si>
  <si>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</si>
  <si>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</si>
  <si>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</si>
  <si>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</si>
  <si>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</si>
  <si>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</si>
  <si>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</si>
  <si>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</si>
  <si>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</si>
  <si>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</si>
  <si>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</si>
  <si>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</si>
  <si>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</si>
  <si>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</si>
  <si>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</si>
  <si>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</si>
  <si>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</si>
  <si>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</si>
  <si>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</si>
  <si>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</si>
  <si>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</si>
  <si>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</si>
  <si>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</si>
  <si>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</si>
  <si>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</si>
  <si>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</si>
  <si>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</si>
  <si>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</si>
  <si>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</si>
  <si>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</si>
  <si>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</si>
  <si>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</si>
  <si>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</si>
  <si>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</si>
  <si>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</si>
  <si>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</si>
  <si>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</si>
  <si>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</si>
  <si>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</si>
  <si>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</si>
  <si>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</si>
  <si>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</si>
  <si>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</si>
  <si>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</si>
  <si>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</si>
  <si>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</si>
  <si>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</si>
  <si>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</si>
  <si>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</si>
  <si>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</si>
  <si>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</si>
  <si>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</si>
  <si>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</si>
  <si>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</si>
  <si>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</si>
  <si>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</si>
  <si>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</si>
  <si>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</si>
  <si>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</si>
  <si>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</si>
  <si>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</si>
  <si>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</si>
  <si>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</si>
  <si>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</si>
  <si>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</si>
  <si>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</si>
  <si>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</si>
  <si>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</si>
  <si>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</si>
  <si>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</si>
  <si>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</si>
  <si>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</si>
  <si>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</si>
  <si>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</si>
  <si>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</si>
  <si>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</si>
  <si>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</si>
  <si>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</si>
  <si>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</si>
  <si>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</si>
  <si>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</si>
  <si>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</si>
  <si>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</si>
  <si>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</si>
  <si>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</si>
  <si>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</si>
  <si>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</si>
  <si>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</si>
  <si>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</si>
  <si>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</si>
  <si>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</si>
  <si>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</si>
  <si>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</si>
  <si>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</si>
  <si>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</si>
  <si>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</si>
  <si>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</si>
  <si>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</si>
  <si>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</si>
  <si>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</si>
  <si>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</si>
  <si>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</si>
  <si>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</si>
  <si>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</si>
  <si>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</si>
  <si>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</si>
  <si>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</si>
  <si>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</si>
  <si>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</si>
  <si>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</si>
  <si>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</si>
  <si>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</si>
  <si>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</si>
  <si>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</si>
  <si>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</si>
  <si>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</si>
  <si>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</si>
  <si>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</si>
  <si>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</si>
  <si>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</si>
  <si>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</si>
  <si>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</si>
  <si>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</si>
  <si>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</si>
  <si>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</si>
  <si>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</si>
  <si>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</si>
  <si>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</si>
  <si>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</si>
  <si>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</si>
  <si>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</si>
  <si>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</si>
  <si>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</si>
  <si>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</si>
  <si>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</si>
  <si>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</si>
  <si>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</si>
  <si>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</si>
  <si>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</si>
  <si>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</si>
  <si>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</si>
  <si>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</si>
  <si>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</si>
  <si>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</si>
  <si>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</si>
  <si>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</si>
  <si>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</si>
  <si>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</si>
  <si>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</si>
  <si>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</si>
  <si>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</si>
  <si>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</si>
  <si>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</si>
  <si>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</si>
  <si>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</si>
  <si>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</si>
  <si>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</si>
  <si>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</si>
  <si>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</si>
  <si>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</si>
  <si>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</si>
  <si>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</si>
  <si>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</si>
  <si>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</si>
  <si>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</si>
  <si>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</si>
  <si>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</si>
  <si>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</si>
  <si>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</si>
  <si>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</si>
  <si>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</si>
  <si>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</si>
  <si>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</si>
  <si>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</si>
  <si>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</si>
  <si>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</si>
  <si>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</si>
  <si>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</si>
  <si>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</si>
  <si>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</si>
  <si>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</si>
  <si>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</si>
  <si>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</si>
  <si>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</si>
  <si>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</si>
  <si>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</si>
  <si>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</si>
  <si>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</si>
  <si>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</si>
  <si>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</si>
  <si>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</si>
  <si>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</si>
  <si>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</si>
  <si>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</si>
  <si>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</si>
  <si>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</si>
  <si>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</si>
  <si>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</si>
  <si>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</si>
  <si>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</si>
  <si>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</si>
  <si>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</si>
  <si>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</si>
  <si>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</si>
  <si>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</si>
  <si>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</si>
  <si>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</si>
  <si>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</si>
  <si>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</si>
  <si>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</si>
  <si>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</si>
  <si>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</si>
  <si>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</si>
  <si>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</si>
  <si>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</si>
  <si>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</si>
  <si>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</si>
  <si>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</si>
  <si>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</si>
  <si>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</si>
  <si>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</si>
  <si>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</si>
  <si>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</si>
  <si>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</si>
  <si>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</si>
  <si>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</si>
  <si>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</si>
  <si>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</si>
  <si>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</si>
  <si>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</si>
  <si>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</si>
  <si>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</si>
  <si>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</si>
  <si>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</si>
  <si>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</si>
  <si>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</si>
  <si>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</si>
  <si>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</si>
  <si>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</si>
  <si>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</si>
  <si>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</si>
  <si>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</si>
  <si>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</si>
  <si>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</si>
  <si>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</si>
  <si>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</si>
  <si>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</si>
  <si>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</si>
  <si>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</si>
  <si>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</si>
  <si>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</si>
  <si>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</si>
  <si>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</si>
  <si>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</si>
  <si>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</si>
  <si>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</si>
  <si>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</si>
  <si>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</si>
  <si>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</si>
  <si>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</si>
  <si>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</si>
  <si>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</si>
  <si>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</si>
  <si>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</si>
  <si>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</si>
  <si>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</si>
  <si>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</si>
  <si>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</si>
  <si>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</si>
  <si>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</si>
  <si>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</si>
  <si>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</si>
  <si>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</si>
  <si>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</si>
  <si>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</si>
  <si>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</si>
  <si>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Versión: 1.0</t>
  </si>
  <si>
    <t>SISTEMA INTEGRADO DE GESTIÓN BAJO EL ESTÁNDAR MIPG</t>
  </si>
  <si>
    <t>Pendiente</t>
  </si>
  <si>
    <t xml:space="preserve">Programado 2020
</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</si>
  <si>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</si>
  <si>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</si>
  <si>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</si>
  <si>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</si>
  <si>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</si>
  <si>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</si>
  <si>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</si>
  <si>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</si>
  <si>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</si>
  <si>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</si>
  <si>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</si>
  <si>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</si>
  <si>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</si>
  <si>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</si>
  <si>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</si>
  <si>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</si>
  <si>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</si>
  <si>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</si>
  <si>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</si>
  <si>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</si>
  <si>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</si>
  <si>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</si>
  <si>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</si>
  <si>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</si>
  <si>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</si>
  <si>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</si>
  <si>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</si>
  <si>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</si>
  <si>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</si>
  <si>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</si>
  <si>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</si>
  <si>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</si>
  <si>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</si>
  <si>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</si>
  <si>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</si>
  <si>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</si>
  <si>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</si>
  <si>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</si>
  <si>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</si>
  <si>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</si>
  <si>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</si>
  <si>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</si>
  <si>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</si>
  <si>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</si>
  <si>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</si>
  <si>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</si>
  <si>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</si>
  <si>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</si>
  <si>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</si>
  <si>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</si>
  <si>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</si>
  <si>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</si>
  <si>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</si>
  <si>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</si>
  <si>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</si>
  <si>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</si>
  <si>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</si>
  <si>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</si>
  <si>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</si>
  <si>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</si>
  <si>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</si>
  <si>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</si>
  <si>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</si>
  <si>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</si>
  <si>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</si>
  <si>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</si>
  <si>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</si>
  <si>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</si>
  <si>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</si>
  <si>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</si>
  <si>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</si>
  <si>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</si>
  <si>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</si>
  <si>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</si>
  <si>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</si>
  <si>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</si>
  <si>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 xml:space="preserve">TMSA
</t>
  </si>
  <si>
    <t>METRO</t>
  </si>
  <si>
    <t>394  Diseñar y contratar la costrucción de la estación central de transmilenio</t>
  </si>
  <si>
    <t>Diseño y construcción de la estación central de TMSA</t>
  </si>
  <si>
    <t xml:space="preserve">PLAN DE DESARROLLO:    UN NUEVO CONTRATO SOCIAL Y AMBIENTAL PARA LA BOGOTÁ DEL SIGLO XXI
PROGRAMA 49. MOVILIDAD SEGURA , SOSTENIBLE Y ACCESIBLE
</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</si>
  <si>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</si>
  <si>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</si>
  <si>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</si>
  <si>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</si>
  <si>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</si>
  <si>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</si>
  <si>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</si>
  <si>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</si>
  <si>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</si>
  <si>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</si>
  <si>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</si>
  <si>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</si>
  <si>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</si>
  <si>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</si>
  <si>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</si>
  <si>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</si>
  <si>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</si>
  <si>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</si>
  <si>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</si>
  <si>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</si>
  <si>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</si>
  <si>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</si>
  <si>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</si>
  <si>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</si>
  <si>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</si>
  <si>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 xml:space="preserve">
TMSA</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</si>
  <si>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</si>
  <si>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</si>
  <si>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</si>
  <si>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</si>
  <si>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</si>
  <si>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</si>
  <si>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</si>
  <si>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</si>
  <si>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</si>
  <si>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</si>
  <si>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</si>
  <si>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</si>
  <si>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</si>
  <si>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</si>
  <si>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</si>
  <si>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</si>
  <si>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</si>
  <si>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</si>
  <si>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</si>
  <si>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</si>
  <si>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</si>
  <si>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</si>
  <si>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</si>
  <si>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</si>
  <si>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</si>
  <si>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</si>
  <si>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</si>
  <si>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</si>
  <si>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</si>
  <si>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</si>
  <si>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</si>
  <si>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</si>
  <si>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</si>
  <si>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</si>
  <si>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</si>
  <si>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</si>
  <si>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</si>
  <si>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</si>
  <si>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Diciembre 30 de 2020</t>
  </si>
  <si>
    <t>Con la implementación de la flota troncal correspondiente a la renovación de la flota troncal se brinda una capacidad adicional de 40% y las unidades funcionales 2 y 3 se brinda mayor accesibilidad a cerca de 157,000 usarios al servicio de transporte.</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</si>
  <si>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</si>
  <si>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</si>
  <si>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</si>
  <si>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</si>
  <si>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</si>
  <si>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</si>
  <si>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</si>
  <si>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 xml:space="preserve">
AVANCE MENSUAL (Magnitud)</t>
  </si>
  <si>
    <t xml:space="preserve">
PRESUPUESTO (Millones de pesos)</t>
  </si>
  <si>
    <t xml:space="preserve">
PLAN MAESTRO DE MOVILIDAD</t>
  </si>
  <si>
    <t xml:space="preserve">Programado 2021
</t>
  </si>
  <si>
    <t>Ejecutado 2021</t>
  </si>
  <si>
    <t>No presenta retrasos</t>
  </si>
  <si>
    <t>Esta meta no presenta retrasos en su ejecución</t>
  </si>
  <si>
    <t>La meta no presenta retrasos</t>
  </si>
  <si>
    <t xml:space="preserve">No presenta retrasos
</t>
  </si>
  <si>
    <t>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*Servicios cortos para atender la carga crítica de aquellos servicios más largos que consumen una gran cantidad de flota, en algunos casos estos son servicios de apoyo que no son visibles para el usuario.
*Servicios súper expresos que han permitido librar capacidad de las estaciones, llevando a los usuarios desde los principales orígenes a los principales destinos.
*Dada la flexibilidad del Sistema, se han creado algunas conexiones operacionales que permiten atender nuevos pares origen-destino que con el tiempo se han hecho más importantes.
*Posibilidad de circulación en tráfico mixto en condiciones de contingencia o en condiciones normales de operación como es el caso de las conexiones operacionales de la Avenida Ciudad de Villavicencio y la conexión entre las troncales Américas y
NQS
*Incorporación de flota biarticulada (buses de 250 pasajeros) para ampliar la capacidad en los corredores de mayor demanda</t>
  </si>
  <si>
    <t>No se han presentado obstáculos o retrasos a la fecha. Se avanza en los cronogramas de trabajo en el tiempo estipulado</t>
  </si>
  <si>
    <t>SDM - Indicador : Tiempo promedio de viaje en los 14 corredores principales de la ciudad
No se reportan retrasos.</t>
  </si>
  <si>
    <t>IDU - No presenta retras
TMSA - No presenta retraso</t>
  </si>
  <si>
    <t>TMSA - sin retrasos
SDM - sin retrasos</t>
  </si>
  <si>
    <t>Sin retrasos</t>
  </si>
  <si>
    <t>Teniendo en cuenta la periodicidad de la meta, a la fecha no se presentar retrasos.</t>
  </si>
  <si>
    <t>Teniendo en cuenta la periodicidad de la meta, a la fecha no se presentar retrasos</t>
  </si>
  <si>
    <t>No se han presentado obstáculos o retrasos a la fecha.</t>
  </si>
  <si>
    <t>Número de puntos públicos de carga rápida implementados</t>
  </si>
  <si>
    <t>No reporta retraso</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</si>
  <si>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</si>
  <si>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</si>
  <si>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</si>
  <si>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</si>
  <si>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Durante lo corrido del Plan Distrital de Desarrollo, en cumplimiento de la meta se han adelantado los siguientes:
- Se inició la gestión para el Contrato de consultoría para la estructuración técnica, legal y financiera del Sistema de Bicicletas Compartidas de Bogotá con CFF/C40 (Cities Finance Facility).
- Se inició la construcción de la exposición de motivos y propuesta de articulado para un Proyecto de Acuerdo que busca: 1. Crear el Sistemas de Micromovilidad, 2. Permitir la Publicidad Exterior Visual en dicho sistema, y 3. Regular el servicio del sistema (dicho proyecto de acuerdo se presentó ante el
Concejo el 21 de marzo).
- Se construyó el protocolo de la actividad "Alquiler de vehículos de micromovilidad", en la "Comisión Intersectorial del Espacio Público" en Diciembre de 2020, que conllevo a la emisión de la resolución 030 de 2021 del DADEP.</t>
  </si>
  <si>
    <t>No se han presentado obstáculos o retrasos a la fecha</t>
  </si>
  <si>
    <t>En lo corrido del año 2021, se ha ejecutado un total de 9,8 km/carril de vía , correspondiente al 6,71 % de cumplimiento del la meta PDD en avances en las siguientes obras
AV. TINTAL DE AV. V/CIO. A AV. BOSA. IDU-1543-2018
AV ALSACIA (AV BOYACÀ - AV CALI) IDU-1539-2018
AV. ALSACIA (AV TINTAL A AV CALI) IDU-1540-2018
AV BOSA DESDE AV C CALI HAST AV TINTAL IDU-1533-2018
AV.JOSÉ C.MUTIS DE AK. 70- AV.BOYACA IDU-1851-2015
AV.ELRINCON KR91 AC131A D CR91 AV.CONEJE IDU-1725-2014</t>
  </si>
  <si>
    <t>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</si>
  <si>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 xml:space="preserve">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
</t>
  </si>
  <si>
    <t>Con corte a junio de 2021 la meta no reporta beneficios por cuanto se está en la etapa contractual. Sin embargo,se espera que con con la construccion , reforzamiento o mantenimiento de los puentes vehiculares se logre dar conectividad a las vias y por ende se disminuyan los tiempos de  de recorrido vial.</t>
  </si>
  <si>
    <t>Mejoramiento en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</si>
  <si>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No se reportan retrasos</t>
  </si>
  <si>
    <t>El mantenimiento de ciclo-infraestructura en la ciudad ha logrado mantener  las condiciones de seguridad vial, conectividad entre tramos existentes, ya que se mejoró la infraestructura existente para que sean zonas adecuadas y exclusivas para la circulación de los Biciusuarios. Adicionalmente en la medida que los diferentes actores viales han conocido  y  respetado dichas zonas, estas han cumplido con su función haciendo que el desplazamiento de los mismos por las vías se haya realizado de manera más segura y ágil.</t>
  </si>
  <si>
    <t>IDU_No se presentan retrasos
UMV_La ruralidad se encuentra recuperando avance en otras zonas del distrito debido a que para lo programado en Sumapaz, la población de la localidad ha seguido con su posición de dejar entrar gente, materiales y equipos para trabajar, pero no dejarlos salir. Se espera contar con una mayor cantidad de
segmentos priorizados para el mes de julio</t>
  </si>
  <si>
    <t xml:space="preserve">Con las acciones adelantadas se ha optimizazdo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
De igual manera la conservación ha permitido mantener en buen estado la malla vial arterial e intermedia, dismiuyen el deterioro y por ende el costo de intervenciones futuras.
</t>
  </si>
  <si>
    <t>El mayor impacto registrado es la reducción del número de víctimas fatales en siniestros viales, especialmente en el usuario vulnerable tipo peatón, así como la reducción del 9% de jóvenes (entre 14 y 28 años) fallecidos por siniestros viales, a 30 de junio del 2021 (Esta información fue tomada de ArcGis PRO, SDM el 01/07/2021, y son datos preliminares, susceptibles de modificación) se han registrado 75 jóvenes (entre 14 y 28 años) víctimas fatales, frente a 82 jóvenes (entre 14 y 28 años) víctimas fatales a junio del año 2019.</t>
  </si>
  <si>
    <t xml:space="preserve">
La meta no presenta retrasos
</t>
  </si>
  <si>
    <t>La revisión de los estudios de tránsito se ha efectuado con normalidad, dando respuesta en los términos establecidos en la normatividad, gracias a las mesas de trabajo que se programan con los consultores. La implementación de los proyectos aprobados, tiene como área de intervención el Distrito Capital y la Región. La apuesta de transformación se refleja en la viabilidad de los estudios de tránsito para la ejecución de proyectos de infraestructura vial y de equipamientos de transporte del sistema de movilidad. De otra parte, se mejoró el Índice de Regularidad del intervalo del componente Zonal, pasando de cifra de mes a 68,1 en marzo de 2020, a partir de marzo el valor promedio se ha mantenido en 79%.</t>
  </si>
  <si>
    <t>Con las acciones adelantadas en el sistema de transporte público se ha aumentado la capacidad  en los componentes troncal y zonal, y se han logrado reducir las barreras de acceso el Sistema Integrado de Transporte Público (SITP), las cuales han tenido lugar por los altos gastos en transporte en que deben incurrir las poblaciones de menores ingresos, limitando su acceso a los bienes y servicios que ofrece la ciudad, esenciales para su desarrollo humano, a la vez que se mejoran las condiciones bajo las cuales se presta el servicio.</t>
  </si>
  <si>
    <t xml:space="preserve">No presenta beneficios por cuanto se está en la etapa antecesora. Así las cosas, los beneficios se reflejarán posteriormente, y éstos están relacionados con:
El cable de san cristobal  que beneficiará  a  más de 400 mil habitantes de la localidad en 2.8 km de línea con tres estaciones.
Respecto a la estructuración de otros cables, el Cable reencuentro Monserrate  tendrá  más de 7 kilómetros que se conectará con el corredor verde la la séptima en inmediaciones del Museo Nacional y el centro internacional y conectará el sector universitario los barrios los Laches, El Consuelo, El dorado con la estación bicentenario de Transmilenio y con la PMLM en el parque tercer Milenio. 
</t>
  </si>
  <si>
    <t>Con las acciones adelantadas, se lograron los siguientes beneficios:
*Mejoras a la experiencia de viaje mediante la enseñanza de conocimientos en movilidad, cultura vial y modos sostenibles de transporte que las niñas y niños podrán aplicar una vez caminen de regreso a sus colegios.
*Acompañamiento a los recorridos de las NNA hacia los parques y espacios públicos de manera segura.
*Brindar espacios más seguros y eficientes para el
desplazamiento diario de la población infantil y adolescente en Bogotá. 
*Creación de espacios para que la población escolar explore su entorno de manera segura y feliz. Esto, con el objetivo de que reconozcan su ciudad, la disfruten y se apropien de ella. 
*Coadyuvar al acceso y la permanencia en las instituciones educativas, realizar actividad física, incentivar el deporte como hábito y práctica saludable para sus vidas.
*Aportes al proceso formativo de niñas, niños y adolescentes a través de las actividad física al aire libre, acciones pedagógicas y recreativas.
* Beneficios asociados a la actividad física, dentro de los cuales se encuentran impactos a la salud corporal y mental.</t>
  </si>
  <si>
    <t>Concentración promedio ponderado de ciudad de material particulado PM 10</t>
  </si>
  <si>
    <t xml:space="preserve">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 </t>
  </si>
  <si>
    <t>Concentración promedio ponderado de ciudad de material particulado PM 2,5</t>
  </si>
  <si>
    <t>En lo que va corrido del Plan de Desarrollo 2020-2024, se ha logrado mantener el tiempo promedio de viaje por debajo de los 50 minutos. Lo anterior, gracias a que se ha mantenido por encima del 99% la disponibilidad del Sistema de semaforización, se realizaron jornadas de gestión en vía ayudando a la
movilidad, la subdirección de PMT realizó todas las gestiones con el fin de no tener afectaciones en los tiempos de viaje para los usuarios de modos motorizados (vehiculares) en la infraestructura vial, por efecto de las obras y la implementación de PMT sobre los catorce (14) corredores viales principales,
entre otras. Es preciso tener en cuenta, que en el mes de abril se presentaron situaciones como cuarentenas por días, sistema 4x 3 y toque de queda que puede afectar comportamientos en los viajes de las personas y por ende afectar los tiempos de viaje. De igual manera, y debido a las manifestaciones
presentadas en la ciudad no se implementaron pruebas pilotos, la demanda de viajes en transporte privado disminuyó en los corredores donde se tenía planeado ejecutar pruebas pilotos y no se vio la necesidad de su implementación, además, que el personal de grupo GUIA fue destinado a la atención de
marchas. En el mes de junio se implementaron medidas en el corredor de la autopista norte, se comenzó el desmonte de la ciclorruta en calzada del corredor Av Calle 13; para los demás corredores se tiene el equipo de gerencia en vía regulando los puntos críticos por congestión.</t>
  </si>
  <si>
    <t>No se presentan retrasos a la fecha</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</si>
  <si>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</si>
  <si>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</si>
  <si>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</si>
  <si>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</si>
  <si>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En lo corrido del Plan de desarrollo se han implementado 1591 ciclo parqueaderos tanto en vías como en los campamentos de las obras que se encuentran en ejecución, con lo cual se alcanza un 31,82% de cumplimiento de la meta Plan , dichos ciclo parqueaderos se encuentran ubicados así:
- ZONA ROSA (198)
- AV.ELRINCON KR91 AC131A D CR91 AV.CONEJE ( 104)
- AV.JOSÉ C.MUTIS DE AK. 70- AV.BOYACA (96)
- AV. TINTAL DE AV. V/CIO. A AV. BOSA.( 141)
- AV TINTAL DE AV M. CEP VARGAS A AV ALSAC (350)
- AV ALSACIA AV BOYACA Y CARRERA 71B (225)
- AV BOSA DESDE AV C CALI HAST AV TINTAL( 140)
-AV.EL RINCON DE AV.BOYACA A CRA.91 (50)
-PTE PEAT AV.LAUREANO GOMEZ AK9 X CLL112( 8)
-CALLE 116 ENTRE CRA. 7 Y AUTONORTE (20)
- AMPLIACIÓN ESTACIONES GP 2 (45)
- AV.L.GOMEZ AK9 D CL183 A CL193 ( 5)
- TM CARACAS TRAMO 1 (58)
- CANALES COMERCIALES ( 6)
- AV. 68 ALIMENTADORA LINEA METRO- GP 2 (15)
- AV. 68 ALIMENTADORA LINEA METRO - GP 4 (35)
- AV. 68 ALIMENTADORA LINEA METRO - GP 6 ( 30 )
- AV. 68 ALIMENTADORA LINEA METRO - GP 7 (12)
- Ampliación de estaciones TM - Emergencia ¿ Grupo I ( 16)
- Ampliación de estaciones TM - Emergencia ¿ Grupo II (16)
- CICLO PUENTE CANAL MOLINOS X AUTONORTE (11)
- PATIO LA REFORMA ( 10)</t>
  </si>
  <si>
    <t>Se logró ejecutar las acciones complementarias con las demás subdirecciones enfocadas a mantener en 100% operando el sistema de semaforización inteligente, manteniendo las jornadas de gestión en vía e implementando señalización en algunos corredores prioritarios y se implementa acciones de gestión de la demanda para la ciudad, con esto se propendió por mantener la velocidad de operación de la ciudad, manteniendo los tiempo de viaje, sin descuidar la seguridad vial y mitigando los impactos de congestion en los corredores de mayor volumen de tránsito de la ciudad y de esta manera se brindó una óptima experiencia de viaje a los usuarios de los corredores.</t>
  </si>
  <si>
    <t>El mayor impacto es que las víctimas de siniestros viales del Distrito ya tienen un Centro de orientación en donde pueden tener orientación de tipo psicológica, jurídica y social para tener herramientas para adecuarse a sus nuevas condiciones de vida, lo cual redunda en la mejora de calidad de vida de las víctimas.</t>
  </si>
  <si>
    <t>La encuesta, las pruebas de las aplicaciones, la implementación de la medida de pico y placa para vehículos de alta ocupación, son componentes que contribuirán a la creación de medidas que tendrán como área de intervención, el Distrito Capital y la Región.
Con corte al 12 de junio, se tienen 1.048.001 registros de excepción al pico y placa por alta ocupación. 231.278 vehículos diferentes se han registrado en el portal dispuesto por la SDM. Cada vehículo registrado realiza 6 viajes en promedio a la semana con el permiso.</t>
  </si>
  <si>
    <t xml:space="preserve">Presencia institucional en portales, estaciones, paraderos y buses previniendo la evasión del pago y fomentando el buen uso del Sistema.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 
Insumos y avance en la toma de decisiones gerenciales que permitan mitigar la evasión del pago a través de acciones de infraestructura de puertas y BCA’s.
Concesionarios del Componente Zonal y TRANSMILENIO S.A. trabajando juntos para minimizar la evasión de pago en el SITP. 
Fiscalización y sanción a evasores del pago para buscar no repetición del comportamiento. 
Abstención de conducta de evasión del pago gracias a acciones de disuasión de personal de vigilancia privada. </t>
  </si>
  <si>
    <t xml:space="preserve">La Avenida Carrera Séptima en términos de movilidad implantará sobre su sección transversal una infraestructura segura para los peatones a través de andenes amplios, una infraestructura bidireccional para los ciclistas generando conectividad con las demás ciclorrutas del sector, una infraestructura exclusiva para el transporte público sostenible donde se priorice el uso de tecnologías verdes y finalmente la infraestructura para el transporte privado. </t>
  </si>
  <si>
    <t xml:space="preserve"> 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</si>
  <si>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Los cicloparqueaderos facilitan los desplazamientos en bicicleta y  en el marco de La Nueva Movilidad, infraestructura adicional, refuerza la seguridad y conexiones directas.
De igual manera, estas acciones permiten que los y las ciclistas cuenten con un lugar adecuado, seguro y cómodo para poder guardar su bicicleta, reduciendo la posibilidad del hurto y facilitando su movilidad en la ciudad. 
Otro beneficio importante es que se aumenta la calidad de vida de los ciudadanos dado que se incrementa la actividad física y contemplativa del paisaje urbano.</t>
  </si>
  <si>
    <t xml:space="preserve">Su ubicación es adecuada y conveniente para la operación del SITP zonal, dado que se encuentra cerca los puntos de inicio de ruta.
Gaco:Demanda flota : entre 161 y 251 padrón equivalente, demanda pasajeros: 80 (Año 2030)
No rutas: 16. 
Alameda: Demanda flota : entre 87 y 149 padrón equivalente , Demanda pasajeros: 165 (Año 2030)
No Rutas: 14.
San Jose: Infraestructura para patio y paradero
demanda de flota a atender: entre 162 y 279 padrón equivalente.
Con los proyectos para el diseño y construcción de patios troncales y zonales del Sistema, se busca contar con la infraestructura necesaria de modo que se garantice la adecuada y eficiente operación de la flota del Sistema, incluyendo su estacionamiento y mantenimiento. Lo anterior, con el fin de prestar un servicio de calidad en términos de seguridad y eficiencia, garantizando la calidad del servicio del SITP para todos los usuarios. </t>
  </si>
  <si>
    <t>Con este proyecto se busca, principalmente, mejorar el nivel de servicio de las estaciones del Sistema TransMilenio y se disminuya la congestión en horas pico. Así mismo, se mejora la capacidad instalada de la infraestructura de transporte masivo y soporte del SITP, buscando mejorar constantemente la calidad del transporte público para todos los usuarios del Sistema.</t>
  </si>
  <si>
    <t>Fortalececimiento de los procesos de planeación, gestión y operación del sistema de movilidad urbano – regional que han permitido impulsar la calidad de vida de los ciudadanos y la competitividad,  abarcando todos los modos de transporte y los diferentes tipos de logística y de carga para la ciudad. 
Se han logrado mitigar las externalidades negativas que genera el transporte de carga en Bogotá-Región.</t>
  </si>
  <si>
    <t>Con este proyecto se busca la implementacion de  la estacion de intercambio modal del SITP mas robusta que coincide con la Primera Linea del Metro de Bogotá, una eventual interaccion con el REGIOtram de Occidente y la interconexion y trasferencia de ciudadanos entre las diferentes troncales BRT que coinciden en el centro de la  ciudad, en suma de la integracion con el componente zonal del SITP, todas estas accioens enmarccadas en un proyecto de renovacion urbana detonado y catalizado pro el sistema de transporte publico</t>
  </si>
  <si>
    <t>Porcentaje de avance en la estructuración, implementación y operación del estacionamiento en vía para la ciudad de Bogotá</t>
  </si>
  <si>
    <t>Teniendo en cuenta la periodicidad de la meta, a la fecha no se presentan retrasos</t>
  </si>
  <si>
    <t>266_Gestionar la implementación de un sistema de bicicletas públicas</t>
  </si>
  <si>
    <t xml:space="preserve">Número de jóvenes fallecidos por siniestros viales en jóvenes entre 14 y 28 años
</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</si>
  <si>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</si>
  <si>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</si>
  <si>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</si>
  <si>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</si>
  <si>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</si>
  <si>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</si>
  <si>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El indicador no presenta retrasos, sin embargo se listan a continuación situaciones dificualtades que se presentaron durante las diversas alteraciones de orden público que vivió la ciudad entre los meses de abril y mayo:
1. Cancelación de visitas técnicas que permitían concretar nuevos participantes para las gestiones de cupos en entidades públicas, lo que fortaleció la búsqueda de nuevas entidades, contactos y generación de reuniones de manera virtual.
2. Las rutas destinadas para parques y plazoletas se cancelaron, en prevalencia a la integridad física de los técnicos que realizan el recorrido. En este sentido la Secretaría Distrital de Movilidad incentivó las actividades pedagógicas, para la educación del ciclista.
avances 681 - Para dar cumplimiento al indicador 681, se han adelantado las siguientes gestiones:
1. Se ha realizado contacto con diversas empresas privadas, para dar a conocer el Plan Marshall, e incentivar a que conozcan el Acuerdo Distrital 780 de 2021 y el Decreto Reglamentario 091 de 2021, dichas empresas son: Decatlhon, Caracol Tv, Zona Cinco, Opain, Centro Comercial Avenida Chile,
Centro Comercial Gran Estación, Centro Comercial Plaza Claro, Centro Comercial unicentro, Terpel, Fenalco.
Se resalta que aquellas empresas que no se encuentran interesadas en el Plan Marshall, se direccionan hacia el Programa Sellos de Calidad, con el fin de no perder al contribuyente y guiarlo hacia su foco de interés.
2. Por parte de la Secretaría Distrital de Movilidad se convocó a una reunión, donde participarán los proveedores de inmobiliario para cicloparqueaderos, con el fin de darles a conocer el Plan marshall y que ello, a sus clientes mencionarán el beneficio y el descuento tributario que les otorga el distrito, al
implementar cicloparqueaderos entre el 1 de enero de 2021 y el 31 de diciembre de 2024. Dichas empresas fueron: Kryptonite, Dujo Sostenible, Diego Camargo, Yakuma Ingenieros, Andina parking de Colombia, CKT Global, Ipark Colombia, Frencher, Mejor en Bici, Bicycle Capital, Bicistema Arquitectura y
Urbanismo
3. Por parte del Comité Interinstitucional se han implementado estrategías de divulgación que permitan que más contribuyentes, conozcan sobre el Plan Mashall, sus beneficios y como inscribirse
retrasos 681 - El indicador no presenta retrasos, sin embargo se listan a continuación situaciones dificualtades que se presentaron durante las diversas alteraciones de orden público que vivió la ciudad entre los meses de abril y mayo:
1. Cancelación de visitas técnicas que permitian concretar nuevos participantes para las gestiones de cupos en empresas privadas, dichas manifestaciones permitierón concretar una base más amplia de posibles contribuyentes.</t>
  </si>
  <si>
    <t>El indicador no presenta retrasos, sin embargo se listan a continuación situaciones dificualtades que se presentaron durante las diversas alteraciones de orden público que vivió la ciudad entre los meses de abril y mayo:
1. Cancelación de visitas técnicas que permitian concretar nuevos participantes para las gestiones de cupos en empresas privadas, dichas manifestaciones permitierón concretar una base más amplia de posibles contribuyentes.</t>
  </si>
  <si>
    <t>La Línea 2 del Metro de Bogotá o Fase 2 de la PLMB, es un proyecto que ha sido conceptualizado para ofrecer nuevas alternativas de transporte especialmente a los habitantes de las localidades de Suba y Engativá, que se movilizan hacia el centro
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</si>
  <si>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En cuanto a los beneficios que traería la implementación del regiotram de occidente encontraremos mejoras contundentes en el mejoramiento de la experiencia de los tiempos de desplazamiento en la ciudad- región, a través de un sistema de
transporte masivo multimodal, regional, limpio y sostenible cuyo eje estructurador es la red de metro regional. La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t>
  </si>
  <si>
    <t>Aumentar la flota de transporte de cero y bajas emisiones se refleja en menor cantidad de material particulado y gases de efecto invernadero emitidos. Esto contribuirá en beneficios de salud pública para la ciudadanía.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</si>
  <si>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transporte público.</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</si>
  <si>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aportan en la reducción de los siniestros viales y el hurto de bicicletas al que están expuestos los ciclistas de la ciudad y brindan las condiciones físicas, culturales y socioeconómicos para que los ciclistas ejerzan su
derecho a disfrutar de la ciudad en Bicicleta.</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</si>
  <si>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</si>
  <si>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Las actividades desarrolladas, contribuirán a que los hogares vulnerables económicamente mejoren sus ingresos y su calidad de vida, al tener acceso y disfrute igualitario y con calidad al sistema de movilidad de Bogotá, y por ende a las oportunidades
laborales, educativas y culturales que ofrece la ciudad.</t>
  </si>
  <si>
    <t>676_Porcentaje de avance en la estructuración, implementación y operación del estacionamiento en vía para la ciudad de Bogotá</t>
  </si>
  <si>
    <t>Como análisis a estos datos se estima que actualmente no han regresado a la presencialidad todos los sectores económicos, en especial educación. Aunado a esto, las manifestaciones y disturbios en algunos sectores de la Ciudad, junto con la temporada de lluvias, afectan la decisión en la elección modal
de los usuarios, incluido los ciclistas.
Para el diagnostico de cicloinfraestuctura se construyó un cronograma que marcara la hoja de ruta de esta estrategia y así poder solventar los posibles retrasos.
En relación a la cicloinfraestructura se ha presentado dificultades por revisiones a detalle en variables de tránsito que involucran a los corredores, como:
- Congestión vehicular (tiempos de viaje)
- Solución en intersecciones (semáforos)
- Seguridad vial (peatones y ciclistas).</t>
  </si>
  <si>
    <t>De acuerdo con el seguimiento de las distintas fuentes de información con las que se alimenta el modelo de estimación de la partición modal de viajes en Bogota, se encuentra que para el último trimestre se ha mantenido el número de viajes de bicicleta al día.
El número de viajes de bicicleta (675000) registrado, está relacionado con el cumplimiento de los objetivos específicos de la política pública de la bicicleta, y y la promoción de una cultura de la bici por medio de acciones en vía que promueven la ley 1811 de 2016 y buscan lograr cambios en las conductas
de los actores viales. A continuación, se describe detalladamente las actividades y avances realizadas para el cumplimiento de los objetivos específicos de la siguiente manera:
1. Más seguridad personal -Registro Bici Bogotá: -Bicicletas registradas 2020 -2021: 63.149 -Usuarios registrados 2020 -2021: 78.641 -Jornadas 2020 -2021: 924 - Se hizo entrega de 200 candados de seguridad a mujeres ciclistas, con el fin de disminuir el riesgo a hurto por oportunidad
2. Mayor seguridad vial -Durante el desarrollo de las acciones en vía se tuvo el siguiente registro de actividades y beneficiarios en el primer semestre del año (ene- jun 2021)
Número de acciones: 107 (Vigencia 2021) Número de Acciones 2020 -2021: 211
Personas Atendidas: 10058 (Dentro de personas atendidas se encuentran las personas formadas y las personas informadas) Personas atendidas 2020 - 2021: 11.922
3. Más y mejores viajes en bicicleta - Se tienen 22 km de ciclovias temporales. Para ciclorrutas 2020 -2021 se tienen los siguientes datos: Factibilidad 24.61km, Prefactibildad: 5.5 y en Revisión 1.75 km.
Nota: 27,47 km salieron de ciclovias por COVID- 19.
4.Más bici para todas y todos -Los logros en el desarrollo de la semana de la bicicleta son: 1. En el marco de la semana de la bicicleta se logra una amplia oferta de actividades para los ciudadanos con más de 80 actividades en la programación. Como logro del trabajo con los colectivos se encuentra que:
80 personas fueron beneficiadas por la Fundación que Unen Pueblos con los Ojos de gatos que fueron entregados en la campaña Vidas reflectivas el 27 de septiembre. 100 personas beneficiadas de la proyección de Bici Cine realizado en la Biblioteca Virgilio Barco. 20 personas asistieron a la primera
mesa de trabajo Diálogos Ciclistas con Colectivos y más de 40 organizaciones o colectivos de la bicicleta participando de las actividades de la XIV semana de la bicicleta.</t>
  </si>
  <si>
    <t>Los datos reportados se refieren a los vehículos de cero y bajas emisiones matriculados a la fecha, de acuerdo con la base de datos -Registro Distrital Automotor-RDA-.
En lo corrido del cuatrienio con la meta se ha aumentado el número de vehículos de cero y bajas emisiones a 4587, donde 2513 son eléctricos y 2074 dedicados a gas natural vehicular, el avance de la meta corresponde una parte a la adquisición de flota en Transmilenio S.A. según el acuerdo 811 de 2021
relacionado con lineamientos para la adquisición de flota oficial eléctrica.
Adicionalmente, se estima que otro factor que impulsa el incremento, puede darse porque en Bogotá se han creado nuevos incentivos tanto para vehículos eléctricos como para vehículos híbridos, como son, descuentos en el impuesto vehicular y exenciones en el pico y placa, y estas medidas al parecer
estas medidas han impactado significativamente en las ventas de vehículos de cero y bajas emisiones.
Así mismo se ha incentivado la implementación de los 20 puntos de recarga y se está creando el marco legal.
La fase de agenda pública tuvo concepto favorable por parte de la SDP, por tanto, se da inicio a la fase de formulación; está fase contendrá acciones para cada modo de transporte y acciones transversales que serán construidas a través de una estrategia de participación similar a la fase de diagnóstico.
Parte de las estrategias a avanzar son las estrategias de reposición de taxis eléctricos, estrategia de despliegue de infraestructura, estrategia de ascenso de flota oficial y estrategia de ascenso de flota escolar.
Culminó la estrategia de participación de la fase de formulación de la política pública de movilidad motorizada de cero y bajas emisiones que contó con más de 30 espacios de participación en los cuáles se validaron y consolidaron los objetivos, metas y estrategias de la Política. Así mismo, la Política obtuvo
el respaldo del Programa de las Naciones Unidas para el Medio AMbiente (PNUMA) y se lanzó la estrategia de compromisos publico privados en el marco del programa MoveToZero del PNUMA, buscando vincular los esfuerzos del sector privado y generar compromisos concretos.</t>
  </si>
  <si>
    <t>Si bien la meta no presenta retrasos, se han presentado dificultades en razón de la situación generada por el virus, el aislamiento de las personas ha limitado el uso de estos servicios, cosa que ha llevado a que las empresas no hayan operado como lo venía haciendo antes de marzo 2020. No obstante, lo
anterior no han tenido un impacto directo en el desarrollo de la estrategia.</t>
  </si>
  <si>
    <t>Durante lo corrido del Plan Distrital de Desarrollo, en cumplimiento de la meta se reportan los siguientes avances:
-Construcción y publicación del protocolo de la actividad "Alquiler de vehículos de micromovilidad" mediante la Resolución No. 86572.
-Expedición de la regulación de provisión de servicio de la actividad de micromovilidad mediante la resolución No. 93495.
-Construcción del DTS de publicidad exterior visual, con el cual se soporto la resolución de Secretaría Distrital de Ambiente que regula la publicidad exterior visual, documento que se encuentra en fase de observaciones.
- Prolongación de los permisos gratuitos de micromovilidad otorgados en 2020, hasta noviembre de 2021
- Se elaboró el borrador de la resolución que permite la Publicidad Exterior Visual en el sistema de la mano con Secretaria de Ambiente, dependiendo de la decisión del concejo distrital frente a este tema se podrá emitir o no esta resolución
- Proceso de acuerdo para el recibo de los cicloparquederos resultantes de la retribución en especie del sistema, en coordinación con el DADEP e IDRD (dichas entidades aceptaron recibir este mobiliario).
- Construcción de un documento técnico de soporte para la ubicación e instalación de cicloparqueaderos, los cuales serán la retribución en especie del Sistema de Micromovilidad
- Estructuración de las condiciones para expedir permisos temporales de micromovilidad en el marco de la Emergencia Sanitaria declarada por el Gobierno Nacional
Aprobación del Acuerdo 811 de 2021 que: 1. Permite la Publicidad Exterior Visual en vehículos de micromovilidad y 2. Permite a la Administración Distrital regular la provisión del servicio ante el Concejo Distrital.
Construcción de un Documento Técnico Soporte para "EL ALQUILER DE VEHÍCULOS DE MICROMOVILIDAD EN BOGOTÁ D.C. BAJO EL ESQUEMA DE PERMISOS DE APROVECHAMIENTO ECONÓMICO DEL ESPACIO PÚBLICO", el cuál está en revisión para firmas</t>
  </si>
  <si>
    <t>663_Concentración promedio ponderado de ciudad de material particulado PM 10
Concentración promedio ponderado de ciudad de material particulado PM 2,5</t>
  </si>
  <si>
    <t>288_Concentración promedio ponderado de ciudad de material particulado PM 10</t>
  </si>
  <si>
    <t>La Secretaría Distiral de Movilidad ha trabajado con la Secretaría Distrital de Ambiente en la construcción del Plan Aire que será la hoja de ruta para la reducción de la concentración de material particulado.
Definición de un Plan Estratégico Peatonal 2021
-Intervenciones de peatonalizaciones
-Resignificación de vías peatonales que están siendo usadas por carros
-Barrios Vitales
Se está avanzando en la estrategia de despliegue de infraestructura de vehículos eléctricos, la solicitud de creación de actividad permitirá que en espacio público y bienes públicos se pueda instalar infraestructura de recarga a través de una licitación. Adicionalmente, a través de cooperación internacional
se logró conseguir dos asistencias técnicas que buscan fortalecer el documento técnico de soporte.
La estrategia de reposición de taxis tiene mayor viabilidad de tener éxito si se retoma la confianza de los taxistas del piloto.
La Secretaría Distrital de Ambiente, en el marco del cumplimiento de la meta de la concentración promedio ponderado de ciudad de material partículado PM 10.0 para dar cumplimiento al reporte de la meta de reducción, realiza el calculo del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septiembre: 34.4 microgramos por metro cubico).</t>
  </si>
  <si>
    <t>En cuanto a la cifra de muertes en siniestros viales, se registraron a 30 de septiembre del 2021: 339 víctimas fatales (126 peatones, 66 ciclistas, 111 motociclistas, 9 conductor, 27 pasajeros), resultando en una reducción del 9% frente a las muertes registradas en el año 2019 (372 víctimas fatales: 175
peatones, 53 ciclistas, 97 motociclistas, 8 conductores, 39 pasajeros). Esta información fue tomada de ArcGis PRO-SDM el 01/10/2021, y son datos preliminares, susceptibles de modificación.
Algunas de las acciones del PDSV 2017-2026 que se han realizado para lograr la disminución de fatalidades en accidentes de tránsito, son:
Eje 1. Institucionalidad y gestión de la Seguridad Vial:
Implementación permanente del límite máximo de velocidad en las vías del Distrito Capital en 50 km/h (Decreto Distrital No. 073 de 2021), visitas de control a los Planes Estratégicos de Seguridad Vial de los concesionarios troncales, zonales y provisionales. A la fecha se han realizado 62 visitas a los
concesionarios, seguimiento a Lineamientos Técnicos de Seguridad Vial y actualización de 7 Lineamientos.
Eje 2. Actores de la vía, comunicación y cultura vial:
Se desarrollaron jornadas de capacitación dirigidas a distintos actores viales en temas como Efecto Venturi que generan los vehículos de gran tamaño, puntos ciegos, buenas prácticas en la vía, entre otros temas estratégicos. Igualmente se diseñó la campaña de la nueva movilidad que tiene un enfoque en
seguridad vial.
Eje 3. Víctimas:
En lo corrido del PDD el Centro de Orientación a Víctimas de Siniestros Viales, entre el 1/12/2020 al 30/09/2021 fueron atendidas 170 víctimas de siniestros viales, de las cuales 92 son conductores, 8 motociclistas, 23 pasajeros, 16 ciclistas y 31 peatones. Se realizaron 170 citas de acogida, 156 citas de
orientación jurídica, 114 citas de orientación social y 222 citas de orientación psicológica, para un total de 492 citas.
Eje 4. Infraestructura Segura:
Estructuración del proyecto Barrios Vitales, construcción de franja ciclopeatonal en el costado sur de la calle 13, que contempló la generación de dos carriles para ciclistas y una línea de 1,2 metros para peatones.Se ejecutaron actividades de señalización, adecuación de paraderos, segregación con New
Jerseys, siembra de individuos arbóreos e instalación de punto de reciclaje.
Por otra parte, se realizó la planeación del Proyecto Estratégico Peatonal en donde se intervendrán 475 puntos y/o tramos a lo largo de toda la ciudad. Igualmente, a 30 de agosto de 2021, se han implementado 714 medidas integrales de gestión de tránsito, se demarcaron 915 pasos peatonales y se han
beneficiado 80 Instituciones Educativas.
Eje 5. Control para la seguridad vial, tecnología y vehículos:
En lo corrido del PDD, se realizaron 1.022 controles de velocidad, a través de los cuales se han impuesto 148.366 comparendos C-29 (Exceso de velocidad), de ese total, 142.385 fueron por cámaras salvavidas, 4.095 en puestos de control y 1.886 por embriaguez.</t>
  </si>
  <si>
    <t>Se tiene un 12% de reducción de jóvenes (entre 14 y 28 años) fallecidos por siniestros viales, a 30 de septiembre del 2021. Se han registrado 115 jóvenes, frente a 130 jóvenes a septiembre del año 2019. Esta información fue tomada de ArcGis PRO, SDM el 01/10/2021, y son datos preliminares,
susceptibles de modificación.
Algunas de las acciones del Plan Distrital de Seguridad Vial (PDSV) 2017-2026 que se han realizado para lograr la disminución de fatalidades en accidentes de tránsito, son:
Eje 1. Institucionalidad y gestión de la Seguridad Vial:
Implementación permanente del límite máximo de velocidad en las vías del Distrito Capital en 50 km/h (Decreto Distrital No. 073 de 2021), visitas de control a los Planes Estratégicos de Seguridad Vial de los concesionarios troncales, zonales y provisionales. A la fecha se han realizado 62 visitas a los
concesionarios, seguimiento a Lineamientos Técnicos de Seguridad Vial y actualización de 7 Lineamientos.
Eje 2. Actores de la vía, comunicación y cultura vial:
Se desarrollaron jornadas de capacitación dirigidas a distintos actores viales en temas como Efecto Venturi que generan los vehículos de gran tamaño, puntos ciegos, buenas prácticas en la vía, entre otros temas estratégicos. Igualmente se diseñó la campaña de la nueva movilidad que tiene un enfoque en
seguridad vial.
Eje 3. Víctimas:
En lo corrido del PDD el Centro de Orientación a Víctimas de Siniestros Viales, entre el 1/12/2020 al 30/09/2021 fueron atendidas 170 víctimas de siniestros viales, de las cuales 92 son conductores, 8 motociclistas, 23 pasajeros, 16 ciclistas y 31 peatones. Se realizaron 170 citas de acogida, 156 citas de
orientación jurídica, 114 citas de orientación social y 222 citas de orientación psicológica, para un total de 492 citas.
Eje 4. Infraestructura Segura:
Estructuración del proyecto Barrios Vitales, construcción de franja ciclopeatonal en el costado sur de la calle 13, que contempló la generación de dos carriles para ciclistas y una línea de 1,2 metros para peatones.Se ejecutaron actividades de señalización, adecuación de paraderos, segregación con New
Jerseys, siembra de individuos arbóreos e instalación de punto de reciclaje.
Por otra parte, se realizó la planeación del Proyecto Estratégico Peatonal en donde se intervendrán 475 puntos y/o tramos a lo largo de toda la ciudad. Igualmente, a 30 de agosto de 2021, se han implementado 714 medidas integrales de gestión de tránsito, se demarcaron 915 pasos peatonales y se han
beneficiado 80 Instituciones Educativas.
Eje 5. Control para la seguridad vial, tecnología y vehículos:
En lo corrido del PDD, se realizaron 1.022 controles de velocidad, a través de los cuales se han impuesto 148.366 comparendos C-29 (Exceso de velocidad), de ese total, 142.385 fueron por cámaras salvavidas, 4.095 en puestos de control y 1.886 por embriaguez.</t>
  </si>
  <si>
    <t>643_Número de jóvenes fallecidos por siniestros viales en jóvenes entre 14 y 28 años</t>
  </si>
  <si>
    <t>A septiembre de 2021 ya se tiene toda la flota troncal vinculada, para un total de 475,850 sillas vinculadas; con relación al componente zonal ya se tienen 485.014 sillas de flota vinculada, para un total de 960.864 sillas disponibles, equivalente a un aumento de 126.093 sillas de oferta (15,11%) con respecto
a la línea base para el Plan de Desarrollo (834.771).</t>
  </si>
  <si>
    <t>En lo corrido de la vigencia se han adelnatado las siguientes acciones:
Transmilenio -TMSA - y la Secretaría Distrital de Movilidad aunaron esfuerzos para desarrollar el proyecto de -Diagnóstico de cobertura de transporte público en las zonas rurales de la ciudad, identificando puntualmente las necesidades de ampliación de la oferta en las zonas prioritarias de Bogotá como
la localidad de Sumapaz-.
- Se avanzó en el diseño e implementación de los carriles preferenciales: Para el plan de implementación, están en curso el análisis y los estudios de viabilidad de tres corredores. El primero, sobre la calle 80 entre el Puente de Guadua y el Portal de la 80, el segundo, la carrera 13 entre la calle 67 y la
calle 19 y el tercero sobre la Avenida José Celestino Mutis entre la av. NQS y la Carrera 110. Entre estos dos corredores, se tienen en estudio 27 km de carril preferencial para su viabilidad. km de carril bus.
- Se realizó el lanzamiento de la campaña pedagógica "Échale ojo al carril preferencial"; la cual busca mejorar el desempeño de la red de carriles preferenciales, generando conciencia en la ciudadanía del correcto uso de esta infraestructura destinada para el transporte público. Se continúa con la
implementación del SITP y desmonte del SITP provisional y las acciones necesarias para el cierre del SITP, al igual que se siga prestando un transporte adecuado a los usuarios. .
En cuanto al Plan de Movilidad Accesible, el 21 de septiembre del año en curso se realizó la mesa de seguimiento a la tutela T192 y se elaboró el informe del trimestre para el juzgado, mensualmente se realiza mesa de seguimiento a la implemntación de paraderos del servicio zonal del SITP</t>
  </si>
  <si>
    <t>En lo corrido de la vigencia, se han generado los siguientes avances en cumplimiento del indicador:
Revisión y aprobación de estudios de tránsito para equipamientos de transporte del sistema de movilidad:
- Contrato IDU-1619 de 2019
- Estudio, diseño y construcción de mejoras geométricas y nueva salida del Portal Troncal 80, Acción Popular 2013-0399 Malla vial y andenes en la Carrera 4Este entre Calles 46D Sur y 45 Sur La Victoria, Contrato IDU-1650 de 2019 Estudios, diseños y construcción del Canal Córdoba entre Calles 129 y
170, Contrato IDU-1347 de 2017
- Estudios y diseños conexión regional Canal Salitre y Rio Negro NQS- AK7; IDU-1624 de 2019
- Estudios, diseño y construcción Paseos Comerciales Fase II Puente Aranda, IDU-1599 de 2018
Factibilidad, estudios y diseños para la construcción del puente San Agustín y el puente Los Andes, Contrato IDU-1642 de 2019 Interventoria estudios, diseños y construcción aceras y ciclorutas costado oriental Autonorte entre AC 80 y CL 128B, Contrato FDLF-CMA-07-2019 Interventoría estudios y
diseños proyecto Zona F.
También se aprobaron estudios de tránsito de Patios zonales SITP: Aeropuerto, Usme Centro, Alameda El Jardín, María Juana, Perdomo, El Gaco, El Uval, La Conejera, Suba Gaitana y La Turquesa.</t>
  </si>
  <si>
    <t>Meta de tipo creciente cuyo avance es de 86,63 con respecto al 79.30 esperado para la vigencia 2021.
El resultado corresponde al porcentaje promedio de confiabilidad así: Confiabilidad BRT 98,96 - Confiabilidad Zonal 74,30.
En el componente zonal, se logró una mejora en el Indice de Regularidad del intervalo, pasando de cifra de mes a 68,1% en marzo de 2020, a un valor promedio en 2021 del 74,3%. Si bien parte de esta mejora se debe a las acciones adelantadas para garantizar una mejor prestación del servicio, dicho
valor se ve afectado de manera favorable por las restricciones de movilidad con ocasión de la declaración de pandemia por Covid 19, sin embargo, eventos como manifestaciones o congestión vehicular, tienen un impacto ligeramente desfavorable, por lo que se espera una pequeña reducción del indicador
con el regreso a la normalidad.
A nivel de la Dirección de TIC, se avanzó en revisión fichas técnicas y Plan Maestro Equipamiento ITS Zonal y se realizaron ejercicios de campo y mesas técnicas con concesionarios en proceso de estabilización de los Sistemas Integrados de Transporte - ITS, Implementación solución General Transit
Feed Specification, por sus siglas en ingles - GTFS estaticos con BigQuery, configuración Capa de Información para predicción de adelantamiento y llegada de buses troncales. Publicación Servicios Web de General Transit Feed Specification, por sus siglas en ingles - GTFS dinámicos. Revisión
componentes y actividades para ajuste del Plan Gestión de Seguridad de la Información en continuidad del negocio.. Correo OlgaQ.07102021.</t>
  </si>
  <si>
    <t>Cable Aéreo en San Cristóbal
En el año 2020, el IDU adelantó el proceso IDU-CMA-SGDU-015-2020 para la contratación de la consultoría cuyo objeto es realizar la ¿Actualización y/o Ajustes y/o Complementación de Factibilidad y Estudios y Diseños del Cable Aéreo en San Cristóbal, en Bogotá D.C. y el proceso IDU-CMA-SGDU-
030-2020 para la contratación de la respectiva interventoría.
El primero de febrero de 2021 se suscribió el acta de inicio del contrato de consultoría IDU-1630 de 2020 por un valor de $6.995.087.770. En la misma fecha se suscribió el acta de inicio del contrato de interventoría IDU-1673 de 2020 por valor de $1.902.481.183
Actualmente, el contrato IDU-1630-2020 se encuentra en ejecución la Fase de Estudios y Diseños del Cable aéreo San Cristóbal. Recientemente, finalizó la fase de factibilidad del proyecto, en la cual se definió el trazado del mismo. La longitud del cable será de 2.8 km, contará con 3 estaciones, una en el
Portal 20 de Julio, que conecta directamente con el Sistema TransMilenio, otra a dos cuadras del Hospital de la Victoria y otra al lado del CAMI de Altamira. La capacidad del cable permitirá transportar hasta 4.000 pasajeros por hora por sentido. El recorrido desde Altamira hasta el Portal tardará alrededor
de 10 minutos.
El 30 de julio se dio inicio a la etapa de estudios y diseños que tiene una duración de 6 meses y un mes más para obtener las aprobaciones de las empresas de servicios públicos.
Con excepción del componente electromecánico y las estructuras asociadas al mismo (pilonas, fundaciones de columnas y las columnas propiamente de sostenimiento de los equipos electromecánicos en las estaciones), todos los diseños serán a nivel de detalle teniendo en cuenta que los estudios y
diseños que el consultor debe elaborar servirán para llevar a cabo, la construcción montaje, puesta en marcha, operación y mantenimiento del cable aéreo en San Cristóbal. El componente electromecánico y las estructuras asociadas al mismo se desarrollarán a un nivel de factibilidad.
Se estima que en julio-agosto de 2022 se adjudique la construcción y que para el segundo semestre de 2024 finalice la construcción del mismo.
Estudios de pre inversión de dos cables aéreos:
 Cable Aéreo ciudadela sucre o Potosí Sierra Morena (ciudad Bolívar)
 Cable Aéreo en Santa Fe asociado Corredor Verde Carrera Séptima</t>
  </si>
  <si>
    <t>IDU_En lo corrido de la vigencia 2021 se han conservado 5,31 km de ciclorrutas a través de los contratos IDU-1639-2019 MANT ESP PUBLICO Y CICLORUTA e IDU-1300-2020 MANT ESP PUBLICO Y CICLORUTA con los cuales se alcanza un 4,83% de avance frente a la meta del PDD
UMV_Se han ejecutado 9,68 km en la malla de ciclorutas del Distrito, realizando mantenimiento rutinario de ciclorruta en calzada de las localidades de Kennedy y Puente Aranda y mantenimiento periódico en la ciclorruta alameda el Porvenir-Tintal.
SDM_En lo transcurrido del Plan de Desarrolo, se han mantenido 5,55 km de cicloinfraestructura existente, en la vigencia del año 2021 se han mantenido 0,56 km de cicloinfraestructura existente. Entre el año 2020 y 2021 se han intervenido 5 localidades las cuales son: Kennedy, Suba, Santa Fe, Teusaquillo y
Fontibón. Se realizó la priorizacion de la cicloinfraestructura existente en las diferentes vias del Distrito. Posteriormente se realizó la asignación al contrato de obra correspondiente a cada zona, para su mantenimiento en campo, bajo la supervision de actividades por parte de la Entidad.
Las principales ciclorrutas a las cuales se les ha adelantado mantenimiento son las siguientes: Av. Boyaca, KR 59A entre AC 134 y CL 135. KR 16 entre CL 35 y CL 36 y entre CL 60 y CL 61. CL 17 entre KR 98 Y KR 100 y entre KR 116A y 124.</t>
  </si>
  <si>
    <t>IDU_Con corte a 30 de Septeimbre de 2021 se tienen programada la contratación para conservar 476,12 km-carril en las mallas viales de la ciudad y presenta un avance de 182,89 km-carril que frente a la meta plan de desarrollo de 938 km carril equivale 19,50% de cumplimiento, acciones que se han
realizado a través de los programas de conservación así:
MANTENIMIENTO DE 89,12 KM-CARRIL MALLA VIAL ARTERIAL
MANANTENIMIENTO 77,55 KM-CARRIL DE MALLA VIAL INTERMEDIA
REHABILITACION DE 1,16 KM-CARRIL DE MALLA VIAL INTERMEDIA
REHABILITACION DE 14,62KM-CARRIL DE MALLA VIAL RURAL
UMV: De acuerdo con lo programado se presenta un avance en obra de 67.16%, se intervinieron 207.48 km-carril de malla vial local e intermedia, 15,22 km- carril de malla vial arterial y 2,28 km- carril de malla vial rural para un total de 224.98 km carril intervenidos y se taparon un total de 177.564 huecos y entre
las principales vías intervenidas se destacan la Autopista Norte, Av. Boyaca, Av. Calle 100, Av. Calle 134, Av. Carrera 19, Av. Carrera Novena, Av. Carrera 11, Av. Carrera 7, Av. Centenario, entre otras.
Así mismo las intervenciones realizadas corresponden a:
Parcheo/Bacheo, Cambio de carpeta, Rehabilitación en flexible, Cambio de losa, Rehabilitación en rígido, Sello de fisuras, y fresado estabilizado.
En lo corrido de la vigencia se atendieron 16 emergencias, 5 en la localidad de Ciudad Bolívar, 4 en la localidad de Chapinero, 4 en la localidad de Martires, 1 en la localidad de Santa Fe, 1 en la localidad de Usaquen y 1 en la localidad de San Cristobal, las emergencias atendidas fueron por remoción en
Masa, material desprendido por caída de talud, retiro de escombros para habilitar paso vehicular en vía terciaria, por socavación y reconformación de calzada y expropiación y demolición del bien por uso de microtrafico y explotación infantil, entre otros.
Es importante destacar que la UAERMV ha logrado beneficiar alrededor de 4.262.329 habitantes del distrito capital, reduciendo sus tiempos de desplazamiento y mejorando las condiciones de movilidad, seguridad y calidad de vida.</t>
  </si>
  <si>
    <t>En lo que va corrido del Plan de Desarrollo, se ha logrado beneficiar a 46.960 estudiantes a través de los programas Al Colegio en Bici- ABC, Ciempiés ¿ CP y Ruta Pila. En lo que respecta a la vigencia 2021, en conjunto con la Secretaría de Educación Distrital, se ha venido trabajando en una propuesta
para el desarrollo de rutas de confianza, caminos seguros y ciclo-expediciones, de la mano de la reactivación de los colegios, siguiendo los protocolos de bioseguridad establecidos. Las actividades en parques continúan realizándose en paralelo al acompañamiento de los recorridos a los colegios. A su vez,
se vienen realizando operativos de control, revisión y seguimiento de las condiciones de seguridad y el cumplimiento normativo en materia de tránsito y transporte por parte de los vehículos de transporte escolar.
Con la reactivación de las actividades con colegios y en parques en las 15 localidades donde operan los proyectos "Al Colegio en Bici" y "Ciempies Caminos Seguros", desde enero a septiembre de 2021 se ha logrado:
1. Ruta Pila se han revisado 2.629 vehículos de transporte escolar en lo corrido de la vigencia y beneficiando de esta manera a 38.404 estudiantes.
2. ACB: se beneficiaron 4.021 estudiantes beneficiados, 3.326 se encuentran entre los 5 y los 12 años de edad, y 695 de 13 en adelante. Adicionalmente 1.727 son niñas y 2.294 son niños, y se encuentran distribuidos de la siguiente manera en las localides: Antonio Nariño 67, Barrios Unidos 67, Bosa 782,
Ciudad Bolivar 214, Engativa 715, Fontibon 126, Kennedy 497, Martires 134, Puente Aranda 139, Rafael Uribe Uribe 289, San cristobal 21, Suba 548, Tunjuelito 208, Usaquen 149 y Usme 65. Por último, en tipo comunidad a fecha se tiene 20 estudiantes pertenecientes a la comunidad afro y 9 a la
comunidad indígena. Adicional 197 son víctimas de desplazamiento forzado y 51 se encuentran en condición de discapacidad.
3. CP: 1.600 beneficiarios: 1.301 se encuentran entre los 5 y los 12 años de edad y 299 de 13 en adelante. Adicionalmente 798 son niñas y 802 son niños y se encuentran distribuidos de la siguiente manera en las localidades: Bosa 563, Suba 681, Kennedy 182 y Mártires 174. Respecto a las etnias se
cuenta con la participación de 25 beneficiarios. Entre ellos 7 de comunidades afro y 18 de comunidades indígenas: Muisca, Andoque, Pijao y Nasa.</t>
  </si>
  <si>
    <t>Se han presentado algunas dificultades asociadas al pico de pandemia que condujo al cese de la operación el 26 de abril. La organización de horarios y poco aforo de estudiantes a las instituciones educativas afectaron la participación en los caminos seguros y rutas de confianza. Por otra parte, la
realización de actividades de verificación de las condiciones de seguridad y cumplimiento normativo en materia de tránsito y transporte por parte de los vehículos de transporte escolar realizados por el programa Ruta Pila, se han visto afectadas por la emergencia sanitaria generada por el COVID-19 y la
situación social presentada por el paro nacional que retrasaron el retorno a clases presenciales por parte de las instituciones educativas en la ciudad.
Sin embargo, se siguen adelantando las acciones necesarias para el cumplimiento de la meta.</t>
  </si>
  <si>
    <t>Se viene haciendo seguimiento al cronograma definido para el CONPES de IE y el convenio de cofinanciación de la troncal Calle 13. Se hizo mesa de trabajo con MHCP para revisar el espacio fiscal. Se radicaron los documentos de cofinanciación el 4 de octubre. Se espera tener CONPES IE en enero
2022 y Convenio de cofinanciación en marzo de 2022.</t>
  </si>
  <si>
    <t>En lo corrido del año 2021, se ha ejecutado un total de 2,83 km de ciclorruta que representan el 1,26% de avance frente a la meta del Plan de distribuidos de la siguiente manera:
AV. TINTAL DE AV. V/CIO. A AV. BOSA. IDU-1543-2018
AV BOSA DESDE AV C CALI HAST AV TINTAL IDU-1533-2018
AV.JOSÉ C.MUTIS DE AK. 70- AV.BOYACA IDU-1851-2015</t>
  </si>
  <si>
    <t>En lo transcurrido del Plan de Desarrolo, se han implementado 36,93 km de ciclorruta, en la vigencia del año 2021 se han intervenido 11,77 km de ciclorruta. Entre el año 2020 y 2021 se han intervenido 9 localidades las cuales son: Fontibón, Kennedy, Usaquen, Suba, Barrios Unidos, San Cristobal, Santa
Fe, Candelaria y Chapinero. Se realizó la priorizacion de los corredores viales en los cuales se evaluó la viablidad de la implementación de las ciclorrutas segregadas en calzada. Posteriormente se realizó el diseño de señalización correspondiente, la asignación al contrato de obra de cada zona para su
implementación en campo, bajo la supervision de actividades por parte de la Entidad.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Boyaca y AV. Primero de Mayo.</t>
  </si>
  <si>
    <t>Si bien es cierto la meta no presenta avance , a la fecha se encuentran contratados 15 de los 22 programados, , una vez se culminen dichos contratos se reporta su ejecución, en puntos como :
PTE. VEH. AV C CALI POR AV FERROCARRIL ( 2) IDU-1550-2018
MANTENIMIENTO PUENTES VEHICULARES (8) IDU-1711-2020
INTERSECCION AV.RINCON X AV.BOYACA (3) IDU-1550-2018
INTERSECCION AV ALSACIA POR AV BOYACA (2) IDU-1539-2018</t>
  </si>
  <si>
    <t>En ejecución de la estrategia de cultura ciudadana denominada Equipo T, se han adelantado diferentes acciones en el marco de la misma. Lo anterior, a través de la participación de los diferentes componentes de la Subgerencia de Atención al Usuario y Comunicaciones, en articulación con las tres líneas
de acción de la estrategia.
- Desarrollo de seis (6) acciones de cultura ciudadana relacionadas con: anti-evasión; uso de la bicicleta; TransMiCable; prevención del COVID en el Sistema; convivencia y uso adecuado del Sistema; alianza público privada.
- Divulgación de tres (3) contenidos de interés ciudadano a través de los canales oficiales de la entidad (Mujer/TransMiCable/Operadores).
- Tres (3) campañas de posicionamiento sobre los canales oficiales de TM para incentivar una cultura de uso de estas herramientas.
- Cartilla de señaletica
- Implementación de una (1) estrategia para el fortalecimiento de los canales que emplea gestión social y diseño de dos (2) relacionadas con el buen trato hacia los colaboradores del Sistema y actividades de este equipo.
- Promoción interna de tres (3) campañas de cultura.
- Articulación con Políticas Pública con la entidad.
- Promoción de cuatro (4) campañas de atención al usuario.
Lo anterior, con el propósito de promover la cultura ciudadana en el Sistema.</t>
  </si>
  <si>
    <t>Durante el trimestre se avanzó con la publicación del proceso GCC-CM-004-2021, cuyo objeto es: Consultoría para realizar un diagnóstico que sirva como insumo para la formulación de la política de cultura ciudadana de la Primera Línea del Metro de Bogotá S.A. y el mismo, según cronograma del
proceso, se adjudicará a partir del 19 de octubre de 2021, esto soporta el 50% de avance con corte a 30-sep-2021, equivalente a 0.005 de ejecución frente al 0.010 programado para este año con relación a la meta PDD correspondiente 0.25 estrategias de cultura ciudadana implementadas. Es de anotar
que la parametrización del sistema no permite la edición de valores mayores a 3 decimales, por tanto, el % de avance para este caso se reporta en avance y/o logros.</t>
  </si>
  <si>
    <t>En los corridos de la vigencia, la Secretaría ha alcanzado los siguientes logros y avances en la implementación de las estrategias y cultura ciudadana para el sistema de movilidad:
Se desarrollaron las campañas:
Un Pedido Por La Vida, Échale Ojo A Los Carriles Preferenciales Gerencia En Vía, que busca buscan fortalecer, promover e informar a la ciudadanía sobre diferentes componentes de la Seguridad Vial, el cuidado mutuo entre actores viales, desplegando pauta en redes sociales, materiales audiovisuales y
acciones sobre temas puntuales del alcance e interés de los habitantes de Bogotá. generando una comunicación asertiva e informativa
A nivel distrital se puso en marcha la campaña " Tú eres el corazón de la nueva movilidad", con la promoción de tres pilares de cultura ciudadana " pilera, prudencia y paciencia" y con lo que se busca establecer narrativas y acuerdos colectivos que permitan mejorar el comportamiento de los ciudadanos en
el sistema de movilidad.
Así mismo, se desarrolló la estrategia No Pares la Vida, que tuvo un enfoque dirigido a la protección del Sistema Sitp-TransMilenio, como un patrimonio de toda la ciudad que presta un servicio público esencial para la movilidad de todas y todos los habitantes de Bogotá.
En relación con las acciones pedagógicas se desarrolo el curso virtual para Motociclistas: La Nueva Movilidad, Actores en la Vía, en el cual se promovieron hábitos, actitudes y comportamientos adecuados en la vía, de igual manera se fomentó la seguridad vial, la cultura ciudadana, la sana convivencia y el
buen aprovechamiento del espacio público, Así mismo, se realizó la coordinación entre el componente pedagógico y el de comunicaciones adelantando jornadas de educación tanto virtuales como presenciales, implementando 532 acciones de educación vial que redundaron en la disminución de incidentes
viales a nivel distrital
Desde el sistema de información y comunicación se implementaron tres estrategias de cultura ciudadana para la movilidad: 1. La referente a la intervención con una metodología de alto impacto en los carriles preferenciales de Bogotá; 2. Pico y Placa Solidario fase 2 y 3. la campaña Compromiso Protección
Animal.
A través de las estrategias de comunicación y los canales directos de transmisión de información a la ciudadanía, se generan aprendizajes y visibilidad de las diferentes temáticas que maneja la entidad, permitiendo una alta recordación, lo cual es conducente a transformaciones en las actitudes y
percepciones sobre la seguridad vial y el cuidado de los demás actores viales.</t>
  </si>
  <si>
    <t>El cumplimiento de la meta esta asociada a la definición e implementación de una (1) estrategia de cultura ciudadana en el Sistema de Movilidad, se concentró durante el tercer- trimestre del año 2021 en afinar la definición de las cinco estrategias de cultura ciudadana que promovieran el fomento de
acciones de civismo y urbanidad en la ciudadanía; y en implementar las E.C.C. del objetivo 2. Buscar el reconocimiento del esfuerzo institucional para mejorar la movilidad a través de las obras, avanzando en la E.C.C. charlas para el respeto, la prudencia y la paciencia en los frentes de obra, a través de las
encuestas al personal de obra y los talleres de cambio cultural: A cuidar se aprende. También se destaca durante este periodo el avance de la E.C.C. humanizando la labor del personal en obra, en la cual se realizó el evento #BALANCETAPAHUECOS, donde especialmente se resaltó la labor de obra de
las colaboradoras que cumplen con el control de tráfico a través de las paletas de pare y siga.
Con respecto a los objetivos 3 y 4, se destacan avances en la cuantificación de costos e, identificación de personal necesario para la implementación de las E.C.C. cuidando ando y la trece se crece.
De igual manera, se realizaron talleres en ambio cultural "a cuidar se aprende". Para mejor funcionalidad los talleres tienen un máximo de asistencia de 30 personas.</t>
  </si>
  <si>
    <t>En lo corrido del Plan de Desarrollo se han implementado las siguientes acciones:
1. Diagnóstico de la implementación de Taxi Inteligente, documento de reestructuración de las funcionalidades.
2. Diagnóstico de zonas amarillas en la ciudad.
3. Diagnóstico del servicio de taxi aplicando el modelo de calidad basado en indicadores y avance en la estrategia de implementación.
4. Encuesta de percepción del usuario 2021
5. Co-creación con el gremio de la Visión del servicio 2030.
7. Estructuración de canales de comunicación con el gremio a través de mesas de trabajo con los representantes para la construcción de estrategias en pro de la calidad, sostenibilidad y competitividad del gremio.
8. Fortalecimiento de oferta institucional de capacitación para los conductores del gremio.
9. Seguimiento continuó de las actividades de control adelantadas por la entidad respecto a la prestación de servicios no reglamentados.
10. Estructuración de estretegias de protección a la mujer en el servicio de transporte Público Individual.</t>
  </si>
  <si>
    <t>En lo corrido de la vigencia se han adelantado las siguientes acciones:
1. En el marco de la excepción al Pico y Placa para vehículos con 3 o más ocupantes, se continuaron registrando aproximadamente 30.000 vehículos semanales, con un total acumulado de 1.911.989 registros a septiembre 10 de 2021.
2. En el marco de la encuesta de gestión de la demanda y movilidad compartida, se capturaron las preferencias declaradas de más de 13.783 personas que la respondieron.</t>
  </si>
  <si>
    <t>Aunque la meta no presenta retrasos a la fecha, algunas dificultades tienen que ver con :
La demora en la calibración del modelo e interpretación de los resultados de la encuesta de movilidad compartida de la Universidad de Berkeley ha impedido tener claridad sobre las medidas que deberían ser priorizadas en relación con carriles de alta ocupación. Para adelantar acciones, se ha trabajado
con la Red Muévete Méjor en la actualización del Decreto 037 de 20211. La demora en la calibración del modelo e interpretación de los resultados de la encuesta de movilidad compartida de la Universidad de Berkeley ha impedido tener claridad sobre las medidas que deberían ser priorizadas en relación
con carriles de alta ocupación. Para adelantar acciones, se ha trabajado con la Red Muévete Méjor en la actualización del Decreto 037 de 2021, para darle promoción a la movilidad compartida dentro del marco de los Planes Integrales de Movilidad Compartida PIMS.</t>
  </si>
  <si>
    <t>Meta de tipo decreciente cuyo avance es de 23.55 con respecto al 23.55 esperado para la vigencia 2021. Las principales acciones adelantadas fueron:
Al corte de septiembre de 2021, ya se ha realizado la toma de informacion para la linea base en el grupo de estaciones y paraderos definido dentro de la metodología establecida para este ejercicio (27 estaciones Troncal y 83 paraderos del zonal); se avanza en la consolidacion de la informacion para
realizar los calculos que lleven al indicador; asi mismo se continua la construccion de la metodologia para el calculo de la disminucion del tiempo de acceso al transporte publico.</t>
  </si>
  <si>
    <t>Debido a la contingencia por la Pandemia del COVID 19, sumado a la situacion de orden publico acaecida en la ciudad entre abril y junio, la cual ha fectado la operacion de los componentes Troncal y Zonal del sistema, actualmente, no se cuenta con las condiciones normales de operación y demanda que
permitan tomar de forma adecuada la línea base prevista.</t>
  </si>
  <si>
    <t>Los proyectos para los Complejos de Intercambio Modal - CIM del Norte y 80, se encuentran en etapa de factibilidad. Se está preparando la etapa de validación por parte de las entidades distritales. Esto se complementa con los avances reportados en las metas de mejoramiento de 43 estaciones, una
estación central, seis patios troncales y zonales, 29.6 km de troncal y 20 km de corredor verde.</t>
  </si>
  <si>
    <t>En lo corrido vigencia, se han adelantado las siguientes acciones:
-Se avanzó en la ejecución y seguimiento del convenio firmado con la Gobernación de Cundinamarca, la Empresa Férrea Regional y Findeter para llevar a acabo los estudios de factibilidad y la estructuración del proyecto Regiotram del Norte en el mes de noviembre de 2020
-Se presentaron propuestas desde el Sector Movilidad para el borrador de Ley Orgánica de la Región Metropolitana en lo que respecta a la creación de una Autoridad Regional de Transporte y su financiación.
-Se avanzó en la coordinación y apoyo técnico a la Secretaría Distrital de Planeación para la revisión general del Plan de Ordenamiento Territorial en lo que respecta a temas del Sector Movilidad, específicamente en la preparación para la entrega de la propuesta del POT ante el CTPD realizada el 12 de
julio y ante el Concejo Distrital realizada el 10 de septiembre y sus correspondientes socializaciones ante entes de control y ciudadanía.</t>
  </si>
  <si>
    <t>Para la gestión de este indicador, se han adelantado las siguientes actividades:
- Para el año 2021, se ha registrado un avance de 3.420 cupos registrados para infraestructura pública.
- Los resultados de la encuesta realizada a entidades del distrito muestra que se cuenta con 7959 cupos de cicloparqueaderos. 1059 funcionarios que van en bicicleta al trabajo, 558 funcionarios han aplicado al incentivo del artículo 5.</t>
  </si>
  <si>
    <t>En cumplimiento del indicador se destacan el desarrollo de actividades que permitieran generar un aumento en cupos de cicloparqueaderos, integrando las siguientes empresas privadas para sellos de calidad: Centro Comercial Atlantis y Jhonson y Jhonson.
Por otro lado se realizaron diagnósticos a las siguientes empresas privadas: Wok, Ingeurbe, Centro comercial Salitre Plaza.
A su vez, en el marco del acuerdo distrital 780 se han realizado las siguientes actividades de divulgación: Divulgaciones hacia la ciudadanía del 14 de julio, 11 de agosto. Sesiones de Comité Interinstitucional julio y agosto, en las siguientes fechas: 2 de agosto y 27 de agosto. Reuniones con Alcaldías
locales que permiten establecer nuevas opciones frente a la divulgación a pequeñas, medianas y grandes empresas de la localidad y reuniones con empresas de carácter privado, que permite socializar y gestionar nuevos cupos de cicloparqueaderos en infraestructura privada. Para este trimestre el
porcentaje de avance se determino, con base en las gestiones y actividades, descritos en los términos cualitativos, en este sentido, dicho porcentaje se encuentra en 10,28%.
- Para el año 2021, se ha registrado un avance de 25,28% frente a las gestiones que se realizan para incentivar la implementación de cupos de cicloparqueaderos en infraestructura privada.</t>
  </si>
  <si>
    <t>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Este centro fue implementado y se está operando mediante la ejecución del contrato interadministrativo 1904-2020 con la Universidad Nacional de Colombia.
Entre el 1 de julio al 30 de septiembre fueron atendidas 62 nuevas víctimas de siniestros viales, de las cuales 48 son conductores, 0 motociclistas, 8 pasajeros, 1 ciclista y 5 peatones. Se realizaron 62 citas de acogida, 43 citas de orientación jurídica, 22 citas de orientación social y 42 citas de orientación</t>
  </si>
  <si>
    <t>Con corte a 30 de Septeimbre de 2021 el IDU han mantenido 28,20 km- carril de malla vial troncal lo que conlleva a un cumplimiento del 7,83% frente a la meta PDD, dichas acciones se realizado a través de :
MANTENIMIENTO TRONCALES TRASNMILENIO G2 IDU-1626-2020 y IDU-1627-2020</t>
  </si>
  <si>
    <t>En lo corrido del Plan de desarrollo se ha realizado el mejoramiento de 10 estaciones con lo cual se alcanza un avance en el PDD del 23,26%, acciones que se han ejecutado a través de los siguientes puntos de inversión:
Ampliaciones de estaciones al sistema TM GP 1 ( 4) IDU-971-2020
Ampliación de estaciones de emergencia Gp 1 ( 5) IDU-1318-2018
Ampliación de estaciones de emergencia Gp 2 (1) IDU-972-2020</t>
  </si>
  <si>
    <t>Meta de tipo constante cuyo avance es de 75% con respecto al 100% esperado para la vigencia 2021. Las principales acciones adelantadas fueron:
Se participó en comités de seguimiento para verificar el avance de los 5 contratos IDU de mejoramiento de estaciones, además de los comités de seguimiento al convenio 20 de 2001 (La construcción de la infraestructura para el sistema de transporte público de la ciudad se realiza por medio del citado
convenio, suscrito entre Transmilenio S.A. y el IDU).
- Contrato 1309-18: en construcción de 9 estaciones (CARRERA 43 - TRONCAL AMERICAS, CDS CRA 32, LA SABANA - TRONCAL AMERICAS, ZONA INDUSTRIAL - TRONCAL AMERICAS, ALQUERIA ¿ NQS, CALLE 30 SUR, CALLE 38A SUR ¿ NQS, MADELENA ¿ NQS y SANTA ISABEL - NQS).
- Contrato 1535-18: se encuentra en la terminación de los diseños para iniciar la construcción de 9 estaciones (Calle 80- Av. Cali, Calle 80- Carrera 90, Suba-Shaio (Calle 116), Caracas Calle 40 sur, Caracas- Restrepo, Calle 80- Boyacá, NQS- Venecia, Suba- 21 Ángeles, Suba- AV. Boyacá). Contrato
suspendido por el IDU.
- Contrato 971-20: 4 de las estaciones entregadas (Fucha, San Martín, Humedal Córdoba y Consuelo), las otras 2 (Polo y Minuto de Dios) se encuentran en construcción.
- Contrato 972-20: Entregada la Estación Gratamira y la primera fase de la Estación Polo (un nuevo vagón).
- Contrato 973-20: Se encuentra en obra de las 3 externalizaciones de taquillas (Pepe Sierra, Virrey y Calle 127), e inició la construcción en 3 estaciones (Av. Dorado, General Santander y Puente Aranda).</t>
  </si>
  <si>
    <t>Se han evidenciado retrasos en la etapa de construcción producto de ajustes requeridos en los estudios y diseños por parte del IDU, aprobaciones de las empresas de servicios públicos y la suscripción de modificatorios en los contratos para subsanar los temas evidenciados en la apropiación de diseños.
El IDU prorrogó el contrato 1309 -18 para finalizar las actividades de las estaciones restantes y el recibo.
No hay retrasos en las actividades para los proyectos por parte de TRANSMILENIO S.A.</t>
  </si>
  <si>
    <t>Meta de tipo constante cuyo avance es de 75% con respecto al 100% esperado para la vigencia 2021. Las principales acciones adelantadas fueron:
Se remitieron parámetros técnicos al IDU, el IDU elaboró una pre factibilidad. En Junta de Infraestructura se ordenó armonizar el proyecto con la modificación al Plan Parcial, Decreto 822 de 2019, que adelanta la Empresa de Renovación y Desarrollo Urbano de Bogotá D.C. - ERU y busca dar edificabilidad
al área de la estación.
Se está coordinando con la Empresa de Renovación y Desarrollo Urbano de Bogotá D.C. - ERU que la ejecución de la estación se realice por medio del desarrollador del Plan Parcial, para así permitir el desarrollo de la edificabilidad.</t>
  </si>
  <si>
    <t>Meta de tipo constante cuyo avance es de 75% con respecto al 100% esperado para la vigencia 2021. Las principales acciones adelantadas fueron:
En lo que corresponde al avance de las actividades tendientes a garantizar el cumplimiento de la meta propuesta, durante el periodo objeto del reporte se continua con la ejecución de los contratos CTO 587-20 y CTO 599-20 (mantenimiento e interventoría respectivamente).
Contratos por medio de los cuales se continúan ejecutando y garantizando los mantenimientos requeridos por la infraestructura del Sistema Integrado de Trasporte Público -componente BRT (llamados así por sus siglas en inglés por Bus Rapid Transit); sin embargo, consecuencia de las graves
afectaciones generadas en la infraestructura del sistema BRT desde el pasado 28 de abril de 2021 a la fecha, un alto porcentaje de la infraestructura continua vandalizada; tales afectaciones, en la medida de lo posible están siendo atendidas acorde con las priorizaciones, presupuesto y considerando para
ello varios factores de tipo técnico, operacional y de seguridad, así como tiempos de producción de algunos elementos y de los tiempos disponibles para su ejecución.</t>
  </si>
  <si>
    <t>A la fecha y si bien se ha dado continuidad a los mantenimientos programados, la alteración del orden público en la ciudad y las graves afectaciones generadas en la infraestructura del sistema BRT desde el pasado 28 de abril de 2021, atenúan las tareas realizadas; sin embargo, se continua trabajando en
varios frentes acorde con los lineamientos y priorizaciones realizadas con el objetivo de garantizar en el menor tiempo posible la total disponibilidad de la infraestructura.</t>
  </si>
  <si>
    <t>"Con corte a 30 de Junio de 2021 se ha construido 1 patio portal con lo cual presenta un avance del 50% frente a la meta del plan de desarrollo, dicha invercenion se realizo en el siguiente punto
PATIO PORTAL AMERICAS
PATIO PORTAL SUR
PATIO PORTAL TUNAL"</t>
  </si>
  <si>
    <t>Con corte a 30 de Septeimbre de 2021 se ha construido 3 patio portal con lo cual presenta un avance del 50% frente a la meta del plan de desarrollo, dicha invercenion se realizo en el siguiente punto
PATIO PORTAL AMERICAS
PATIO PORTAL SUR
PATIO PORTAL TUNAL</t>
  </si>
  <si>
    <t>Meta de tipo constante cuyo avance es de 75% con respecto al 100% esperado para la vigencia 2021. Las principales acciones adelantadas fueron:
Gaco: contrato de factibilidad estudios y diseños, programado: 96.26%, ejecutado 85%. Etapa de diseños de detalle 100% programado y ejecutado 90%, Trámites y permisos 96% programado y 54% ejecutado.
Alameda: contrato de factibilidad estudios y diseños total programado: 93.3%, ejecutado 90%. Etapa de diseños de detalle 100% programado ejecutado 93%.
San José: Quedó en pre-factibilidad y a la espera de una última alternativa que está por entregar y se espera respuesta de la oficina de instrumentos públicos para los predios falsa tradición. El trámite no tiene un plazo definido, por una impugnación.
La Reforma: La etapa de construcción del patio presenta un avance del 14.95% y trámite de licencia de construcción de edificaciones sigue en curso, con una ampliación de plazo de Curaduría de 20 días más.</t>
  </si>
  <si>
    <t>No hay retrasos en las actividades para los proyectos por parte de TRANSMILENIO S.A., sin embargo, para el proyecto de Carboquímicas la adquisición está suspendida por falta de un cronograma aprobado por la Secretaría Distrital de Ambiente - SDA que armonice la descontaminación con la compra
responsabilidad de carboquimicas. TRANSMILENIO S.A. recomendó Formular un plan B con otras alternativas de adquisición predial y acompañar a Carboquimicas este segundo semestre para definir el cronograma con IDU.
Para el patio el San José, se presenta un atraso debido a que se depende de respuesta de la oficina de registro de instrumentos públicos para que IDU avance con adquisición y factibilidad.</t>
  </si>
  <si>
    <t>Meta de tipo constante cuyo avance es de 75% con respecto al 100% esperado para la vigencia 2021. Las principales acciones adelantadas fueron:
- Extensión Troncal Caracas: Se encuentra en etapa de construcción desde el 12 de agosto de 2020.
- Troncal 68: Los nueve contratos se encuentran en etapa de construcción. Se adelantan las reuniones pertinentes con el IDU para evaluar el avance de cada uno de ellos en la etapa.
- Troncal Avenida Ciudad de Cali: Los tramos 1 y 2 iniciaron etapa de construcción, los tramos 3 y 4 están terminando la pre construcción.
Para todos los contratos: se hace seguimiento permanente a todos los contratos de obra, a través de reuniones, comités, comunicaciones y el comité IDU - TMSA.</t>
  </si>
  <si>
    <t>Si bien es cierto la meta no presenta avance, se están adelantando los siguientes proyectos
Extensión Troncal Caracas Tramo I - Molinos al portal Usme
El proyecto contempla la construcción de las obras de infraestructura para la movilidad requeridas para la adecuación de la Extensión Troncal Caracas en 4.2 km, desde el sector comprendido entre la actual estación Molinos y el Portal de Usme. Las obras contemplan la construcción de dos carriles
exclusivos para el Sistema Transmilenio entre otras, a la fecha se cuenta con un avance físico del 7.48% y se destacan actividades de ejecución de actividades del puente de la quebrada la chiguaza, instalación de mezcla asfáltica y sardineles.
TM Av. 68
Este proyecto consiste en la construcción para la adecuación al sistema Transmilenio de la Av. Congreso Eucarístico (carrera 68) desde la carrera 9 hasta la autopista sur dividida en 9 grupos de obra, los cuales a la fecha en su gran mayoría realizan actividades de intervención de redes de servicios
públicos.</t>
  </si>
  <si>
    <t>A la fecha se encuentra en ejecución los 3 grupos de contratos suscritos para realizar los estudios y diseños del proyecto como se relacionan a continuación:
1. Corredor Verde de la carrera séptima desde la calle 26 hasta la calle 32 Tramo 1. IDU-1319-2021 interventoría IDU-1366-2021 por valor de 1393millones la obra y la interventoría 725 millones
2. Corredor Verde de la carrera séptima desde la calle 32 hasta la calle 93A Tramo 2. IDU-1299-2021 interventoría IDU-1367-2021 por valor de 4.225 millones e interventoría 1.329 millones
3.. Corredor Verde de la carrera séptima desde la calle 93A hasta la calle 200Tramo 3. IDU-1336-2021 interventoría IDU-1368-2021 por valor de 5.373 millones e interventoría 1.612 millones
Entendiendo que el proyecto se encuentra dividido en tramos y que las complejidades y temporalidades son diferentes, los cronogramas que se estiman para cada uno de los tramos son diferentes, en ese orden de ideas, se prevé que la ejecución de las obras comience en el segundo semestre de 2022</t>
  </si>
  <si>
    <t>Meta de tipo constante cuyo avance es de 75% con respecto al 100% esperado para la vigencia 2021. Las principales acciones adelantadas fueron:
En estructuración del proyecto, El IDU inició los contratos de consultoría e interventoría adjudicados para los diseños. Se acompaña el proceso.</t>
  </si>
  <si>
    <t>Meta de tipo decreciente cuyo avance es de 15.36 con respecto al 15.34 esperado para la vigencia 2021. Las principales acciones adelantadas fueron:
Aplicación de 58.402 comparendos por evasión, 44.201 por numeral 7 y 14.201 por numeral 12 del art. 146 del Código Nacional de Seguridad y Convivencia Ciudadana por parte de la Policía Nacional entre el 1° de enero y el 31 de agosto de 2021.
Acciones de disuasión de la evasión del pago con personal de vigilancia privada.
Avances con concesionarios de operación de Fase III del Componente Zonal en la implementación de las medidas anti-evasión.
Reuniones con la Subgerencia General y la Dirección de Modos Alternativos para la estructuración del proceso de cambio de puertas de las Estaciones del Sistema.
Reuniones con la Dirección de TIC y envío de insumos para la estructuración del proceso de cambio de BCA en los portales y estaciones.
Se adjudicó el proceso de Concurso de Méritos para la adquisición del software de inteligencia artificial para medir la evasión del pago.
Se adelantaron más de 938 acciones de prevención y control de la evasión del pago en las que se sensibilizaron más de 87.047 personas.
Se tiene un tiraje de 500 afiches y 5.000 volantes para la campaña anti-evasión del año 2021 bajo el lema Tu Vida Vale Más.
Desarrollo de sesiones de la Mesa Anti-Evasión para revisar estrategias de cultura ciudadana con las Secretarías de Seguridad, Cultura y la Subgerencia de Atención al Usuario y Comunicaciones de TMSA.</t>
  </si>
  <si>
    <t>Se medirá el cumplimiento al final de cada año. Mientras tanto, se va avanzando en la implementación del Plan Estratégico Anti-Evasión en sus cuatro líneas de trabajo con las actividades descritas.
1. Prevención, Cultura Ciudadana, Incidencia y Corresponsabilidad.
2. Monitoreo y caracterización de la evasión
3. Fortalecimiento de la Infraestructura.
4. Fiscalización</t>
  </si>
  <si>
    <t>La actividad para la culminación de la prefactibilidad finalizó en el segundo trimestre de la vigencia. Adicional, en el mes de agosto se dio cumplimiento al Hito #1: Contratación asesores y presentación de cronograma detallado de trabajo. Para el mes de septiembre, la Financiera de Desarrollo Nacional FDN</t>
  </si>
  <si>
    <t>financiero para el acompañamiento a la Financiera de Desarrollo Nacional FDN en la estructuración de la Línea 2 del Metro de Bogotá. En este mes se realizaron observaciones a la versión 01 del Entregable 1 - Plan de trabajo, metodología y cronograma detallado del Contrato Interadministrativo con la</t>
  </si>
  <si>
    <t>Financiera de Desarrollo Nacional FDN.</t>
  </si>
  <si>
    <t>El porcentaje de obra presentado corresponde al avance total de la etapa preoperativa del contrato de concesión. En el trimestre se dio inicio a las obras de la fase previa, correspondiente al Patio Taller y el deprimido de la Calle 72 con Av. Caracas. Los informes Project Management Office PMO
correspondientes a los meses de junio, julio y agosto de 2021 están en proceso de ajuste por parte de la Project Management Office PMO para su posterior aprobación y pago. Se alcanzó el 100% de ejecución programado para la vigencia 2021 en la meta 3. A través de los distintos canales de
comunicación de la Empresa Metro de Bogota EMB, se ha informado a los diferentes grupos de interés, sobre los avances y temas del Proyecto, en este trimestre se informó a un total de 317.792 personas. Adicionalmente, se ha continuado avanzando en la ejecución del traslado de interferencias con:
Grupo VANTI, Empresa de Acueducto y Alcantarillado de Bogota EAAB, Empresa de Telecomunicaciones de Bogota ETB, Enel CODENSA y TELEFONICA, en el mes de agosto se entregó un predio al concesionario a través de Acta de Entrega No. 56 (Sector el Corzo). En cuanto a los informes de
interventoría se recepcionaron los de junio, julio y agosto de 2021, aprobando el de junio y quedando los dos restantes en proceso de ajuste por parte del contratista, así mismo, se recibió el informe trimestral N°3 de interventoría. Finalmente, en cuanto al proceso GCC-SAMC-001-2021 fue adjudicado
bajo el contrato 243 de 2021, con fecha de inicio del 13 de agosto de 2021, lo que ha permitido iniciar la logística para promover el 100% de las actividades de comunicación, participación ciudadana y gestión social para el proyecto PLMB T-1, promoviendo a la fecha las siguientes actividades: Evento de
inicio de obras del Patio Taller, Evento de inicio de obras de la calle 72 con avenida Caracas y, Rueda de prensa del plan de manejo de tránsito de las obras de la calle 72 con avenida Caracas.</t>
  </si>
  <si>
    <t>El contrato de grupo 4 se encuentra suspendido por parte de Empresa de Acueducto y Alcantarillado de Bogota EAAB. Se mantienen reuniones semanales con Secretaria Distrital de Movilidad SDM para gestión de Plan de Manejo de Transito PMT y reunión de seguimiento del Acuerdo Específico AE1
semanal con Empresa de Acueducto y Alcantarillado de Bogota EAAB y Empresa Metro de Bogota EMB." El inicio del Acuerdo Especifico AE8 (Empresa de Telecomunicaciones de Bogota ETB) tuvo demoras en la suscripción del acuerdo y el cronograma a pesar que tuvo cambios, tiene retrasos
considerables, debido a la situación del paro, escacez de tubería (Ya se normalizó el suministro) y problemas con la aprobación de los Plan de Manejo de Transito PMT, para lo cual se estableció un aumento del número de cuadrillas y se está solicitando ante la Secretaria de Movilidad SDM la aprobación
de trabajos diurnos sobre el corredor de la avenida Caracas, para minimizar el atraso que se presenta.</t>
  </si>
  <si>
    <t>En lo corrido del plan de Desarrollo 2020-
2021 se realizaron los estudios, modelaciones, monitoreo y análisis de movilidad que han contribuido a la toma de decisiones en materia de Movilidad y analizar el impacto de los diferentes proyectos en la ciudad.
Se adjudicó el contrato Nº 20212259 para estructurar el componente técnico y tecnológico del sistema interoperable de recaudo (SIR) de Bogotá y la gradualidad de implementación en el sistema de transporte público de la ciudad, incluyendo la incorporación de nuevos medios de transporte al sistema con
lo que se busca disminuir el gasto en transporte público de la población vulnerable.
Así mismo se realiza el análisis de la información derivada del contrato de Monitoreo, relacionado con tiempos de desplazamiento, en diferentes zonas de la ciudad, lo cual permitirá priorizar la implementación de nuevos modos de transporte en corredores donde se observen los mayores tiempos de
desplazamiento y el postprocesamiento de resultados del modelo macro de transporte sobre la implementación de RegioTram de Occidente para la determinación del número de transferencias realizadas por los usuarios teniendo en cuenta diversos esquemas de tarifa para la integración del sistema.
Por otro lado se está adelantando la construcción de un indicador para la medición del avance en la meta 6 del PDD, que no esté ligado a la encuesta de movilidad y que permita su seguimiento continuo durante la vigencia de la actual alcaldía.
Las actividades desarrolladas, contribuirán a que los hogares vulnerables económicamente mejoren sus ingresos y su calidad de vida, al tener acceso y disfrute igualitario y con calidad al sistema de movilidad de Bogotá, y por ende a las oportunidades laborales, educativas y culturales que ofrece la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</si>
</sst>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 numFmtId="183" formatCode="#,##0.0"/>
  </numFmts>
  <fonts count="23"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color theme="0"/>
      <name val="Arial"/>
      <family val="2"/>
    </font>
    <font>
      <b/>
      <sz val="10"/>
      <name val="Arial"/>
      <family val="2"/>
    </font>
    <font>
      <sz val="10"/>
      <name val="Calibri"/>
      <family val="2"/>
    </font>
  </fonts>
  <fills count="9">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73">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0" xfId="0" applyFont="1" applyAlignment="1">
      <alignment vertical="center" wrapText="1"/>
    </xf>
    <xf numFmtId="0" fontId="3" fillId="0" borderId="0" xfId="0" applyFont="1" applyAlignment="1">
      <alignment horizontal="center" vertical="center" wrapText="1"/>
    </xf>
    <xf numFmtId="0" fontId="21" fillId="5" borderId="2" xfId="0" applyFont="1" applyFill="1" applyBorder="1" applyAlignment="1" applyProtection="1">
      <alignment horizontal="center" vertical="center" wrapText="1"/>
    </xf>
    <xf numFmtId="0" fontId="21" fillId="0" borderId="0" xfId="0" applyFont="1" applyAlignment="1">
      <alignment vertical="center" wrapText="1"/>
    </xf>
    <xf numFmtId="0" fontId="3" fillId="7" borderId="0" xfId="0" applyFont="1" applyFill="1" applyAlignment="1">
      <alignment vertical="center" wrapText="1"/>
    </xf>
    <xf numFmtId="0" fontId="21" fillId="7" borderId="0" xfId="0" applyFont="1" applyFill="1" applyBorder="1" applyAlignment="1">
      <alignment horizontal="center" vertical="center" wrapText="1"/>
    </xf>
    <xf numFmtId="0" fontId="3" fillId="7" borderId="0" xfId="0" applyFont="1" applyFill="1" applyBorder="1" applyAlignment="1">
      <alignment vertical="center" wrapText="1"/>
    </xf>
    <xf numFmtId="0" fontId="3" fillId="0" borderId="0" xfId="0" applyFont="1" applyAlignment="1">
      <alignment horizontal="justify" vertical="center" wrapText="1"/>
    </xf>
    <xf numFmtId="0" fontId="21" fillId="5" borderId="2" xfId="0" applyFont="1" applyFill="1" applyBorder="1" applyAlignment="1" applyProtection="1">
      <alignment horizontal="justify" vertical="center" wrapText="1"/>
      <protection locked="0"/>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0" fontId="21" fillId="5" borderId="2" xfId="0" applyFont="1" applyFill="1" applyBorder="1" applyAlignment="1" applyProtection="1">
      <alignment horizontal="justify" vertical="center" wrapText="1"/>
    </xf>
    <xf numFmtId="0" fontId="3" fillId="0" borderId="0" xfId="0" applyFont="1" applyAlignment="1">
      <alignment horizontal="right" vertical="center" wrapText="1"/>
    </xf>
    <xf numFmtId="0" fontId="21" fillId="5" borderId="2" xfId="0" applyFont="1" applyFill="1" applyBorder="1" applyAlignment="1" applyProtection="1">
      <alignment horizontal="right" vertical="center" wrapText="1"/>
      <protection locked="0"/>
    </xf>
    <xf numFmtId="0" fontId="21" fillId="5" borderId="2"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21" fillId="5" borderId="2" xfId="0" applyFont="1" applyFill="1" applyBorder="1" applyAlignment="1" applyProtection="1">
      <alignment horizontal="left" vertical="center" wrapText="1"/>
      <protection locked="0"/>
    </xf>
    <xf numFmtId="42" fontId="3" fillId="0" borderId="0" xfId="113" applyFont="1" applyAlignment="1">
      <alignment vertical="center" wrapText="1"/>
    </xf>
    <xf numFmtId="42" fontId="21" fillId="5" borderId="2" xfId="113" applyFont="1" applyFill="1" applyBorder="1" applyAlignment="1" applyProtection="1">
      <alignment horizontal="center" vertical="center" wrapText="1"/>
      <protection locked="0"/>
    </xf>
    <xf numFmtId="9" fontId="3" fillId="0" borderId="0" xfId="99" applyFont="1" applyAlignment="1">
      <alignment vertical="center" wrapText="1"/>
    </xf>
    <xf numFmtId="0" fontId="21" fillId="0" borderId="0" xfId="0" applyFont="1" applyAlignment="1">
      <alignment horizontal="center" vertical="center" wrapText="1"/>
    </xf>
    <xf numFmtId="0" fontId="3" fillId="7" borderId="3" xfId="0" applyFont="1" applyFill="1" applyBorder="1" applyAlignment="1" applyProtection="1">
      <alignment horizontal="left" vertical="center" wrapText="1"/>
      <protection locked="0"/>
    </xf>
    <xf numFmtId="0" fontId="21" fillId="5" borderId="2" xfId="0" applyFont="1" applyFill="1" applyBorder="1" applyAlignment="1" applyProtection="1">
      <alignment horizontal="left" vertical="center" wrapText="1"/>
    </xf>
    <xf numFmtId="2" fontId="3" fillId="7" borderId="2" xfId="0" applyNumberFormat="1" applyFont="1" applyFill="1" applyBorder="1" applyAlignment="1" applyProtection="1">
      <alignment horizontal="right" vertical="center" wrapText="1"/>
      <protection locked="0"/>
    </xf>
    <xf numFmtId="0" fontId="3" fillId="7" borderId="2" xfId="0" applyFont="1" applyFill="1" applyBorder="1" applyAlignment="1" applyProtection="1">
      <alignment horizontal="right" vertical="center" wrapText="1"/>
      <protection locked="0"/>
    </xf>
    <xf numFmtId="9" fontId="3" fillId="7" borderId="2" xfId="99" applyFont="1" applyFill="1" applyBorder="1" applyAlignment="1" applyProtection="1">
      <alignment horizontal="center" vertical="center" wrapText="1"/>
      <protection locked="0"/>
    </xf>
    <xf numFmtId="0" fontId="3" fillId="7" borderId="2" xfId="0" applyFont="1" applyFill="1" applyBorder="1" applyAlignment="1" applyProtection="1">
      <alignment horizontal="justify" vertical="center" wrapText="1"/>
      <protection locked="0"/>
    </xf>
    <xf numFmtId="0" fontId="3" fillId="7" borderId="0" xfId="0" applyFont="1" applyFill="1" applyAlignment="1">
      <alignment vertical="top" wrapText="1"/>
    </xf>
    <xf numFmtId="42" fontId="3" fillId="7" borderId="2" xfId="113" applyFont="1" applyFill="1" applyBorder="1" applyAlignment="1" applyProtection="1">
      <alignment horizontal="right" vertical="center" wrapText="1"/>
      <protection locked="0"/>
    </xf>
    <xf numFmtId="9" fontId="3" fillId="7" borderId="0" xfId="99" applyFont="1" applyFill="1" applyBorder="1" applyAlignment="1">
      <alignment vertical="center" wrapText="1"/>
    </xf>
    <xf numFmtId="0" fontId="3" fillId="7" borderId="0" xfId="0" applyFont="1" applyFill="1" applyBorder="1" applyAlignment="1">
      <alignment horizontal="center" vertical="center" wrapText="1"/>
    </xf>
    <xf numFmtId="0" fontId="3" fillId="7" borderId="0" xfId="0" applyFont="1" applyFill="1" applyBorder="1" applyAlignment="1">
      <alignment horizontal="justify" vertical="center" wrapText="1"/>
    </xf>
    <xf numFmtId="42" fontId="3" fillId="7" borderId="0" xfId="113" applyFont="1" applyFill="1" applyBorder="1" applyAlignment="1">
      <alignment vertical="center" wrapText="1"/>
    </xf>
    <xf numFmtId="0" fontId="22" fillId="7" borderId="2" xfId="0" applyFont="1" applyFill="1" applyBorder="1" applyAlignment="1">
      <alignment horizontal="left" vertical="center" wrapText="1"/>
    </xf>
    <xf numFmtId="0" fontId="22" fillId="7" borderId="8" xfId="0" applyFont="1" applyFill="1" applyBorder="1" applyAlignment="1">
      <alignment horizontal="center" vertical="center" wrapText="1"/>
    </xf>
    <xf numFmtId="9" fontId="3" fillId="0" borderId="0" xfId="99" applyFont="1" applyAlignment="1">
      <alignment horizontal="right" vertical="center" wrapText="1"/>
    </xf>
    <xf numFmtId="42" fontId="21" fillId="5" borderId="3" xfId="113" applyFont="1" applyFill="1" applyBorder="1" applyAlignment="1" applyProtection="1">
      <alignment horizontal="center" vertical="center" wrapText="1"/>
      <protection locked="0"/>
    </xf>
    <xf numFmtId="4" fontId="21" fillId="7" borderId="2" xfId="142" applyNumberFormat="1" applyFont="1" applyFill="1" applyBorder="1" applyAlignment="1">
      <alignment horizontal="center" vertical="center" wrapText="1"/>
    </xf>
    <xf numFmtId="4" fontId="3" fillId="7" borderId="3" xfId="142" applyNumberFormat="1" applyFont="1" applyFill="1" applyBorder="1" applyAlignment="1" applyProtection="1">
      <alignment horizontal="right" vertical="center" wrapText="1"/>
      <protection locked="0"/>
    </xf>
    <xf numFmtId="3" fontId="3" fillId="7" borderId="2" xfId="142" applyNumberFormat="1" applyFont="1" applyFill="1" applyBorder="1" applyAlignment="1" applyProtection="1">
      <alignment horizontal="center" vertical="center"/>
      <protection locked="0"/>
    </xf>
    <xf numFmtId="0" fontId="3" fillId="7" borderId="3" xfId="0" applyFont="1" applyFill="1" applyBorder="1" applyAlignment="1" applyProtection="1">
      <alignment vertical="center" wrapText="1"/>
    </xf>
    <xf numFmtId="0" fontId="3" fillId="7" borderId="4" xfId="0" applyFont="1" applyFill="1" applyBorder="1" applyAlignment="1" applyProtection="1">
      <alignment vertical="center" wrapText="1"/>
    </xf>
    <xf numFmtId="0" fontId="3" fillId="7" borderId="5" xfId="0" applyFont="1" applyFill="1" applyBorder="1" applyAlignment="1" applyProtection="1">
      <alignment vertical="center" wrapText="1"/>
    </xf>
    <xf numFmtId="4" fontId="21" fillId="7" borderId="3" xfId="142"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vertical="center"/>
      <protection locked="0"/>
    </xf>
    <xf numFmtId="4" fontId="3" fillId="7" borderId="2" xfId="0" applyNumberFormat="1" applyFont="1" applyFill="1" applyBorder="1" applyAlignment="1" applyProtection="1">
      <alignment vertical="center" wrapText="1"/>
      <protection locked="0"/>
    </xf>
    <xf numFmtId="42" fontId="21" fillId="5" borderId="15" xfId="113" applyFont="1" applyFill="1" applyBorder="1" applyAlignment="1" applyProtection="1">
      <alignment horizontal="center" vertical="center" wrapText="1"/>
      <protection locked="0"/>
    </xf>
    <xf numFmtId="0" fontId="3"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Border="1" applyAlignment="1">
      <alignment vertical="center" wrapText="1"/>
    </xf>
    <xf numFmtId="0" fontId="3" fillId="7" borderId="0" xfId="0" applyFont="1" applyFill="1" applyBorder="1" applyAlignment="1">
      <alignment vertical="top" wrapText="1"/>
    </xf>
    <xf numFmtId="0" fontId="3" fillId="7" borderId="0" xfId="0" applyFont="1" applyFill="1" applyBorder="1" applyAlignment="1" applyProtection="1">
      <alignment horizontal="center" vertical="center" wrapText="1"/>
      <protection locked="0"/>
    </xf>
    <xf numFmtId="9" fontId="3" fillId="7" borderId="0" xfId="99" applyFont="1" applyFill="1" applyBorder="1" applyAlignment="1" applyProtection="1">
      <alignment horizontal="center" vertical="center" wrapText="1"/>
      <protection locked="0"/>
    </xf>
    <xf numFmtId="3" fontId="3" fillId="7" borderId="2" xfId="0" applyNumberFormat="1" applyFont="1" applyFill="1" applyBorder="1" applyAlignment="1" applyProtection="1">
      <alignment horizontal="center" vertical="center" wrapText="1"/>
      <protection locked="0"/>
    </xf>
    <xf numFmtId="41" fontId="3" fillId="7" borderId="2" xfId="142" applyFont="1" applyFill="1" applyBorder="1" applyAlignment="1" applyProtection="1">
      <alignment horizontal="right" vertical="center" wrapText="1"/>
      <protection locked="0"/>
    </xf>
    <xf numFmtId="4" fontId="3" fillId="7" borderId="2" xfId="0" applyNumberFormat="1" applyFont="1" applyFill="1" applyBorder="1" applyAlignment="1" applyProtection="1">
      <alignment horizontal="right" vertical="center" wrapText="1"/>
      <protection locked="0"/>
    </xf>
    <xf numFmtId="10" fontId="3" fillId="7" borderId="2" xfId="99" applyNumberFormat="1" applyFont="1" applyFill="1" applyBorder="1" applyAlignment="1" applyProtection="1">
      <alignment horizontal="center" vertical="center" wrapText="1"/>
      <protection locked="0"/>
    </xf>
    <xf numFmtId="10" fontId="3" fillId="7" borderId="2" xfId="99" applyNumberFormat="1" applyFont="1" applyFill="1" applyBorder="1" applyAlignment="1" applyProtection="1">
      <alignment horizontal="center" vertical="center"/>
      <protection locked="0"/>
    </xf>
    <xf numFmtId="4" fontId="3" fillId="7" borderId="2" xfId="142" applyNumberFormat="1" applyFont="1" applyFill="1" applyBorder="1" applyAlignment="1" applyProtection="1">
      <alignment horizontal="right" vertical="center" wrapText="1"/>
      <protection locked="0"/>
    </xf>
    <xf numFmtId="2" fontId="3" fillId="0" borderId="0" xfId="0" applyNumberFormat="1" applyFont="1" applyAlignment="1">
      <alignment horizontal="center" vertical="center" wrapText="1"/>
    </xf>
    <xf numFmtId="181" fontId="3" fillId="7" borderId="2" xfId="112" applyNumberFormat="1" applyFont="1" applyFill="1" applyBorder="1" applyAlignment="1" applyProtection="1">
      <alignment horizontal="right" vertical="center" wrapText="1"/>
      <protection locked="0"/>
    </xf>
    <xf numFmtId="0" fontId="3" fillId="7" borderId="2" xfId="0" applyFont="1" applyFill="1" applyBorder="1" applyAlignment="1" applyProtection="1">
      <alignment horizontal="left" vertical="center" wrapText="1"/>
    </xf>
    <xf numFmtId="0" fontId="3" fillId="7" borderId="2" xfId="0" applyFont="1" applyFill="1" applyBorder="1" applyAlignment="1" applyProtection="1">
      <alignment horizontal="left" vertical="center" wrapText="1"/>
      <protection locked="0"/>
    </xf>
    <xf numFmtId="4" fontId="21" fillId="7" borderId="2" xfId="112" applyNumberFormat="1" applyFont="1" applyFill="1" applyBorder="1" applyAlignment="1" applyProtection="1">
      <alignment horizontal="center" vertical="center" wrapText="1"/>
      <protection locked="0"/>
    </xf>
    <xf numFmtId="4" fontId="3" fillId="7" borderId="2" xfId="112" applyNumberFormat="1" applyFont="1" applyFill="1" applyBorder="1" applyAlignment="1" applyProtection="1">
      <alignment horizontal="right" vertical="center" wrapText="1"/>
      <protection locked="0"/>
    </xf>
    <xf numFmtId="4" fontId="3" fillId="7" borderId="5" xfId="112" applyNumberFormat="1" applyFont="1" applyFill="1" applyBorder="1" applyAlignment="1" applyProtection="1">
      <alignment horizontal="right" vertical="center" wrapText="1"/>
      <protection locked="0"/>
    </xf>
    <xf numFmtId="0" fontId="3" fillId="7" borderId="8" xfId="0" applyFont="1" applyFill="1" applyBorder="1" applyAlignment="1" applyProtection="1">
      <alignment vertical="center"/>
      <protection locked="0"/>
    </xf>
    <xf numFmtId="10" fontId="3" fillId="7" borderId="2" xfId="99" applyNumberFormat="1" applyFont="1" applyFill="1" applyBorder="1" applyAlignment="1" applyProtection="1">
      <alignment vertical="center"/>
      <protection locked="0"/>
    </xf>
    <xf numFmtId="42" fontId="3" fillId="7" borderId="0" xfId="143" applyFont="1" applyFill="1" applyBorder="1" applyAlignment="1" applyProtection="1">
      <alignment horizontal="right" vertical="center" wrapText="1"/>
      <protection locked="0"/>
    </xf>
    <xf numFmtId="4" fontId="21" fillId="7" borderId="2" xfId="142" applyNumberFormat="1" applyFont="1" applyFill="1" applyBorder="1" applyAlignment="1" applyProtection="1">
      <alignment horizontal="center" vertical="center" wrapText="1"/>
      <protection locked="0"/>
    </xf>
    <xf numFmtId="181" fontId="3" fillId="7" borderId="2" xfId="142" applyNumberFormat="1" applyFont="1" applyFill="1" applyBorder="1" applyAlignment="1" applyProtection="1">
      <alignment horizontal="center" vertical="center" wrapText="1"/>
      <protection locked="0"/>
    </xf>
    <xf numFmtId="41" fontId="3" fillId="7" borderId="2" xfId="142" applyNumberFormat="1" applyFont="1" applyFill="1" applyBorder="1" applyAlignment="1" applyProtection="1">
      <alignment horizontal="right" vertical="center" wrapText="1"/>
      <protection locked="0"/>
    </xf>
    <xf numFmtId="41" fontId="3" fillId="7" borderId="2" xfId="142" applyFont="1" applyFill="1" applyBorder="1" applyAlignment="1" applyProtection="1">
      <alignment horizontal="center" vertical="center" wrapText="1"/>
      <protection locked="0"/>
    </xf>
    <xf numFmtId="0" fontId="3" fillId="7" borderId="2" xfId="0" applyFont="1" applyFill="1" applyBorder="1" applyAlignment="1" applyProtection="1">
      <alignment vertical="center" wrapText="1"/>
    </xf>
    <xf numFmtId="4" fontId="3" fillId="7" borderId="5" xfId="142" applyNumberFormat="1" applyFont="1" applyFill="1" applyBorder="1" applyAlignment="1" applyProtection="1">
      <alignment horizontal="right" vertical="center" wrapText="1"/>
      <protection locked="0"/>
    </xf>
    <xf numFmtId="0" fontId="3" fillId="7" borderId="5" xfId="0" applyFont="1" applyFill="1" applyBorder="1" applyAlignment="1" applyProtection="1">
      <alignment horizontal="right" vertical="center" wrapText="1"/>
      <protection locked="0"/>
    </xf>
    <xf numFmtId="2" fontId="3" fillId="7" borderId="5" xfId="0" applyNumberFormat="1" applyFont="1" applyFill="1" applyBorder="1" applyAlignment="1" applyProtection="1">
      <alignment horizontal="right" vertical="center" wrapText="1"/>
      <protection locked="0"/>
    </xf>
    <xf numFmtId="4" fontId="3" fillId="7" borderId="5" xfId="0" applyNumberFormat="1" applyFont="1" applyFill="1" applyBorder="1" applyAlignment="1" applyProtection="1">
      <alignment horizontal="right" vertical="center" wrapText="1"/>
      <protection locked="0"/>
    </xf>
    <xf numFmtId="0" fontId="3" fillId="7" borderId="0" xfId="0" applyFont="1" applyFill="1" applyAlignment="1">
      <alignment horizontal="justify" vertical="center" wrapText="1"/>
    </xf>
    <xf numFmtId="0" fontId="3" fillId="7" borderId="5" xfId="0" applyFont="1" applyFill="1" applyBorder="1" applyAlignment="1" applyProtection="1">
      <alignment horizontal="left" vertical="center" wrapText="1"/>
      <protection locked="0"/>
    </xf>
    <xf numFmtId="2" fontId="21" fillId="7" borderId="2" xfId="0" applyNumberFormat="1" applyFont="1" applyFill="1" applyBorder="1" applyAlignment="1" applyProtection="1">
      <alignment horizontal="center" vertical="center" wrapText="1"/>
      <protection locked="0"/>
    </xf>
    <xf numFmtId="181" fontId="3" fillId="7" borderId="2" xfId="0"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vertical="center"/>
      <protection locked="0"/>
    </xf>
    <xf numFmtId="4" fontId="21" fillId="7" borderId="2" xfId="112" applyNumberFormat="1" applyFont="1" applyFill="1" applyBorder="1" applyAlignment="1">
      <alignment horizontal="center" vertical="center" wrapText="1"/>
    </xf>
    <xf numFmtId="182" fontId="3" fillId="7" borderId="2" xfId="0" applyNumberFormat="1" applyFont="1" applyFill="1" applyBorder="1" applyAlignment="1" applyProtection="1">
      <alignment horizontal="center" vertical="center" wrapText="1"/>
      <protection locked="0"/>
    </xf>
    <xf numFmtId="41" fontId="3" fillId="7" borderId="2" xfId="0" applyNumberFormat="1" applyFont="1" applyFill="1" applyBorder="1" applyAlignment="1" applyProtection="1">
      <alignment horizontal="center" vertical="center" wrapText="1"/>
      <protection locked="0"/>
    </xf>
    <xf numFmtId="4" fontId="3" fillId="7" borderId="2" xfId="112" applyNumberFormat="1" applyFont="1" applyFill="1" applyBorder="1" applyAlignment="1">
      <alignment horizontal="right" vertical="center" wrapText="1"/>
    </xf>
    <xf numFmtId="10" fontId="3" fillId="7" borderId="2" xfId="99" applyNumberFormat="1" applyFont="1" applyFill="1" applyBorder="1" applyAlignment="1" applyProtection="1">
      <alignment horizontal="center" vertical="center" wrapText="1"/>
    </xf>
    <xf numFmtId="0" fontId="3" fillId="7" borderId="2" xfId="0" applyFont="1" applyFill="1" applyBorder="1" applyAlignment="1">
      <alignment horizontal="justify" vertical="center" wrapText="1"/>
    </xf>
    <xf numFmtId="0" fontId="3" fillId="7" borderId="2" xfId="0" applyFont="1" applyFill="1" applyBorder="1" applyAlignment="1">
      <alignment horizontal="left" vertical="center" wrapText="1"/>
    </xf>
    <xf numFmtId="4" fontId="3" fillId="7" borderId="2" xfId="0" applyNumberFormat="1" applyFont="1" applyFill="1" applyBorder="1" applyAlignment="1">
      <alignment horizontal="center" vertical="center" wrapText="1"/>
    </xf>
    <xf numFmtId="4" fontId="3" fillId="7" borderId="0" xfId="142" applyNumberFormat="1" applyFont="1" applyFill="1" applyBorder="1" applyAlignment="1" applyProtection="1">
      <alignment horizontal="right" vertical="center" wrapText="1"/>
      <protection locked="0"/>
    </xf>
    <xf numFmtId="0" fontId="3" fillId="7" borderId="3" xfId="0" applyFont="1" applyFill="1" applyBorder="1" applyAlignment="1" applyProtection="1">
      <alignment horizontal="justify" vertical="center" wrapText="1"/>
      <protection locked="0"/>
    </xf>
    <xf numFmtId="0" fontId="3" fillId="7" borderId="4" xfId="0" applyFont="1" applyFill="1" applyBorder="1" applyAlignment="1" applyProtection="1">
      <alignment horizontal="justify" vertical="center" wrapText="1"/>
      <protection locked="0"/>
    </xf>
    <xf numFmtId="0" fontId="3" fillId="7" borderId="5" xfId="0" applyFont="1" applyFill="1" applyBorder="1" applyAlignment="1" applyProtection="1">
      <alignment horizontal="justify" vertical="center" wrapText="1"/>
      <protection locked="0"/>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4" fontId="3" fillId="7" borderId="10" xfId="0" applyNumberFormat="1" applyFont="1" applyFill="1" applyBorder="1" applyAlignment="1" applyProtection="1">
      <alignment horizontal="center" vertical="center" wrapText="1"/>
      <protection locked="0"/>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41" fontId="3" fillId="7" borderId="2" xfId="112" applyFont="1" applyFill="1" applyBorder="1" applyAlignment="1">
      <alignment horizontal="right" vertical="center" wrapText="1"/>
    </xf>
    <xf numFmtId="0" fontId="3" fillId="7" borderId="3"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0" fontId="3" fillId="7" borderId="2" xfId="0" applyFont="1" applyFill="1" applyBorder="1" applyAlignment="1" applyProtection="1">
      <alignment horizontal="justify" vertical="center" wrapText="1"/>
    </xf>
    <xf numFmtId="0" fontId="3" fillId="7" borderId="2" xfId="0" applyFont="1" applyFill="1" applyBorder="1" applyAlignment="1">
      <alignment horizontal="right" vertical="center" wrapText="1"/>
    </xf>
    <xf numFmtId="4" fontId="3" fillId="7" borderId="2" xfId="142" applyNumberFormat="1" applyFont="1" applyFill="1" applyBorder="1" applyAlignment="1" applyProtection="1">
      <alignment horizontal="center" vertical="center"/>
      <protection locked="0"/>
    </xf>
    <xf numFmtId="4" fontId="3" fillId="7" borderId="2" xfId="0" applyNumberFormat="1" applyFont="1" applyFill="1" applyBorder="1" applyAlignment="1" applyProtection="1">
      <alignment horizontal="center" vertical="center" wrapText="1"/>
      <protection locked="0"/>
    </xf>
    <xf numFmtId="180" fontId="3" fillId="7" borderId="2" xfId="99" applyNumberFormat="1" applyFont="1" applyFill="1" applyBorder="1" applyAlignment="1" applyProtection="1">
      <alignment horizontal="center" vertical="center" wrapText="1"/>
      <protection locked="0"/>
    </xf>
    <xf numFmtId="41" fontId="3" fillId="7" borderId="5" xfId="112" applyFont="1" applyFill="1" applyBorder="1" applyAlignment="1" applyProtection="1">
      <alignment horizontal="right" vertical="center" wrapText="1"/>
      <protection locked="0"/>
    </xf>
    <xf numFmtId="0" fontId="3" fillId="7" borderId="3" xfId="0" applyFont="1" applyFill="1" applyBorder="1" applyAlignment="1" applyProtection="1">
      <alignment vertical="center" wrapText="1"/>
      <protection locked="0"/>
    </xf>
    <xf numFmtId="0" fontId="3" fillId="7" borderId="5" xfId="0" applyFont="1" applyFill="1" applyBorder="1" applyAlignment="1" applyProtection="1">
      <alignment vertical="center" wrapText="1"/>
      <protection locked="0"/>
    </xf>
    <xf numFmtId="0" fontId="3" fillId="7" borderId="3" xfId="0" applyFont="1" applyFill="1" applyBorder="1" applyAlignment="1">
      <alignment vertical="center" wrapText="1"/>
    </xf>
    <xf numFmtId="0" fontId="3" fillId="7" borderId="5" xfId="0" applyFont="1" applyFill="1" applyBorder="1" applyAlignment="1">
      <alignment vertical="center" wrapText="1"/>
    </xf>
    <xf numFmtId="0" fontId="3" fillId="7" borderId="4" xfId="0" applyFont="1" applyFill="1" applyBorder="1" applyAlignment="1" applyProtection="1">
      <alignment vertical="center" wrapText="1"/>
      <protection locked="0"/>
    </xf>
    <xf numFmtId="42" fontId="3" fillId="7" borderId="2" xfId="113" applyFont="1" applyFill="1" applyBorder="1" applyAlignment="1">
      <alignment vertical="center"/>
    </xf>
    <xf numFmtId="42" fontId="3" fillId="7" borderId="2" xfId="143" applyFont="1" applyFill="1" applyBorder="1" applyAlignment="1">
      <alignment vertical="center"/>
    </xf>
    <xf numFmtId="42" fontId="3" fillId="7" borderId="2" xfId="143" applyFont="1" applyFill="1" applyBorder="1" applyAlignment="1">
      <alignment vertical="center" wrapText="1"/>
    </xf>
    <xf numFmtId="42" fontId="3" fillId="7" borderId="2" xfId="143" applyFont="1" applyFill="1" applyBorder="1" applyAlignment="1" applyProtection="1">
      <alignment horizontal="right" vertical="center" wrapText="1"/>
      <protection locked="0"/>
    </xf>
    <xf numFmtId="42" fontId="3" fillId="7" borderId="2" xfId="113" applyFont="1" applyFill="1" applyBorder="1" applyAlignment="1" applyProtection="1">
      <alignment vertical="center" wrapText="1"/>
      <protection locked="0"/>
    </xf>
    <xf numFmtId="42" fontId="3" fillId="7" borderId="8" xfId="113" applyFont="1" applyFill="1" applyBorder="1" applyAlignment="1" applyProtection="1">
      <alignment vertical="center" wrapText="1"/>
      <protection locked="0"/>
    </xf>
    <xf numFmtId="42" fontId="3" fillId="7" borderId="2" xfId="143" applyFont="1" applyFill="1" applyBorder="1" applyAlignment="1" applyProtection="1">
      <alignment vertical="center" wrapText="1"/>
      <protection locked="0"/>
    </xf>
    <xf numFmtId="42" fontId="3" fillId="7" borderId="8" xfId="113" applyFont="1" applyFill="1" applyBorder="1" applyAlignment="1" applyProtection="1">
      <alignment horizontal="right" vertical="center" wrapText="1"/>
      <protection locked="0"/>
    </xf>
    <xf numFmtId="42" fontId="3" fillId="7" borderId="3" xfId="113" applyFont="1" applyFill="1" applyBorder="1" applyAlignment="1" applyProtection="1">
      <alignment horizontal="right" vertical="center" wrapText="1"/>
      <protection locked="0"/>
    </xf>
    <xf numFmtId="0" fontId="3" fillId="7" borderId="2" xfId="0" applyFont="1" applyFill="1" applyBorder="1" applyAlignment="1">
      <alignment vertical="top" wrapText="1"/>
    </xf>
    <xf numFmtId="46" fontId="3" fillId="7" borderId="5" xfId="0" applyNumberFormat="1" applyFont="1" applyFill="1" applyBorder="1" applyAlignment="1" applyProtection="1">
      <alignment horizontal="justify" vertical="center" wrapText="1"/>
    </xf>
    <xf numFmtId="0" fontId="21" fillId="7" borderId="2" xfId="0" applyFont="1" applyFill="1" applyBorder="1" applyAlignment="1">
      <alignment horizontal="left" vertical="center" wrapText="1"/>
    </xf>
    <xf numFmtId="0" fontId="21" fillId="7" borderId="8" xfId="0" applyFont="1" applyFill="1" applyBorder="1" applyAlignment="1">
      <alignment horizontal="center" vertical="center" wrapText="1"/>
    </xf>
    <xf numFmtId="0" fontId="21" fillId="7" borderId="2" xfId="0" applyFont="1" applyFill="1" applyBorder="1" applyAlignment="1">
      <alignment horizontal="right" vertical="center" wrapText="1"/>
    </xf>
    <xf numFmtId="9" fontId="21" fillId="7" borderId="0" xfId="99" applyFont="1" applyFill="1" applyBorder="1" applyAlignment="1">
      <alignment horizontal="center" vertical="center" wrapText="1"/>
    </xf>
    <xf numFmtId="0" fontId="21"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21" fillId="7" borderId="0" xfId="0" applyFont="1" applyFill="1" applyBorder="1" applyAlignment="1" applyProtection="1">
      <alignment horizontal="center" vertical="center" wrapText="1"/>
      <protection locked="0"/>
    </xf>
    <xf numFmtId="0" fontId="21" fillId="7" borderId="0" xfId="0" applyFont="1" applyFill="1" applyBorder="1" applyAlignment="1" applyProtection="1">
      <alignment horizontal="justify" vertical="center" wrapText="1"/>
      <protection locked="0"/>
    </xf>
    <xf numFmtId="42" fontId="21" fillId="7" borderId="0" xfId="113" applyFont="1" applyFill="1" applyBorder="1" applyAlignment="1">
      <alignment horizontal="justify" vertical="center" wrapText="1"/>
    </xf>
    <xf numFmtId="2" fontId="3" fillId="7" borderId="2" xfId="0" applyNumberFormat="1" applyFont="1" applyFill="1" applyBorder="1" applyAlignment="1">
      <alignment horizontal="right" vertical="center" wrapText="1"/>
    </xf>
    <xf numFmtId="41" fontId="3" fillId="7" borderId="0" xfId="112" applyFont="1" applyFill="1" applyBorder="1" applyAlignment="1">
      <alignment vertical="center" wrapText="1"/>
    </xf>
    <xf numFmtId="181" fontId="3" fillId="7" borderId="0" xfId="0" applyNumberFormat="1" applyFont="1" applyFill="1" applyBorder="1" applyAlignment="1">
      <alignment vertical="center" wrapText="1"/>
    </xf>
    <xf numFmtId="41" fontId="3" fillId="7" borderId="0" xfId="0" applyNumberFormat="1" applyFont="1" applyFill="1" applyBorder="1" applyAlignment="1">
      <alignment vertical="center" wrapText="1"/>
    </xf>
    <xf numFmtId="181" fontId="3" fillId="7" borderId="0" xfId="112" applyNumberFormat="1" applyFont="1" applyFill="1" applyBorder="1" applyAlignment="1">
      <alignment vertical="center" wrapText="1"/>
    </xf>
    <xf numFmtId="42" fontId="3" fillId="7" borderId="2" xfId="143" applyFont="1" applyFill="1" applyBorder="1" applyAlignment="1" applyProtection="1">
      <alignment horizontal="center" vertical="center" wrapText="1"/>
      <protection locked="0"/>
    </xf>
    <xf numFmtId="0" fontId="3" fillId="7" borderId="3" xfId="0" applyFont="1" applyFill="1" applyBorder="1" applyAlignment="1" applyProtection="1">
      <alignment horizontal="justify" vertical="center" wrapText="1"/>
      <protection locked="0"/>
    </xf>
    <xf numFmtId="0" fontId="3" fillId="7" borderId="4" xfId="0" applyFont="1" applyFill="1" applyBorder="1" applyAlignment="1" applyProtection="1">
      <alignment horizontal="justify" vertical="center" wrapText="1"/>
      <protection locked="0"/>
    </xf>
    <xf numFmtId="0" fontId="3" fillId="7" borderId="5" xfId="0" applyFont="1" applyFill="1" applyBorder="1" applyAlignment="1" applyProtection="1">
      <alignment horizontal="justify" vertical="center" wrapText="1"/>
      <protection locked="0"/>
    </xf>
    <xf numFmtId="42" fontId="3" fillId="7" borderId="2" xfId="113" applyFont="1" applyFill="1" applyBorder="1" applyAlignment="1" applyProtection="1">
      <alignment horizontal="center" vertical="center" wrapText="1"/>
      <protection locked="0"/>
    </xf>
    <xf numFmtId="42" fontId="3" fillId="7" borderId="3" xfId="113" applyFont="1" applyFill="1" applyBorder="1" applyAlignment="1" applyProtection="1">
      <alignment horizontal="center" vertical="center" wrapText="1"/>
      <protection locked="0"/>
    </xf>
    <xf numFmtId="42" fontId="3" fillId="7" borderId="5" xfId="113" applyFont="1" applyFill="1" applyBorder="1" applyAlignment="1" applyProtection="1">
      <alignment horizontal="center" vertical="center" wrapText="1"/>
      <protection locked="0"/>
    </xf>
    <xf numFmtId="42" fontId="3" fillId="7" borderId="4" xfId="113" applyFont="1" applyFill="1" applyBorder="1" applyAlignment="1" applyProtection="1">
      <alignment horizontal="center" vertical="center" wrapText="1"/>
      <protection locked="0"/>
    </xf>
    <xf numFmtId="3" fontId="3" fillId="7" borderId="8" xfId="0" applyNumberFormat="1" applyFont="1" applyFill="1" applyBorder="1" applyAlignment="1" applyProtection="1">
      <alignment horizontal="center" vertical="center" wrapText="1"/>
      <protection locked="0"/>
    </xf>
    <xf numFmtId="3" fontId="3" fillId="7" borderId="9" xfId="0" applyNumberFormat="1" applyFont="1" applyFill="1" applyBorder="1" applyAlignment="1" applyProtection="1">
      <alignment horizontal="center" vertical="center" wrapText="1"/>
      <protection locked="0"/>
    </xf>
    <xf numFmtId="3" fontId="3" fillId="7" borderId="10" xfId="0" applyNumberFormat="1"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41" fontId="3" fillId="7" borderId="8" xfId="112" applyFont="1" applyFill="1" applyBorder="1" applyAlignment="1" applyProtection="1">
      <alignment horizontal="center" vertical="center"/>
      <protection locked="0"/>
    </xf>
    <xf numFmtId="41" fontId="3" fillId="7" borderId="9" xfId="112" applyFont="1" applyFill="1" applyBorder="1" applyAlignment="1" applyProtection="1">
      <alignment horizontal="center" vertical="center"/>
      <protection locked="0"/>
    </xf>
    <xf numFmtId="41" fontId="3" fillId="7" borderId="10" xfId="112" applyFont="1" applyFill="1" applyBorder="1" applyAlignment="1" applyProtection="1">
      <alignment horizontal="center" vertical="center"/>
      <protection locked="0"/>
    </xf>
    <xf numFmtId="181" fontId="3" fillId="7" borderId="8" xfId="112" applyNumberFormat="1" applyFont="1" applyFill="1" applyBorder="1" applyAlignment="1" applyProtection="1">
      <alignment horizontal="center" vertical="center"/>
      <protection locked="0"/>
    </xf>
    <xf numFmtId="181" fontId="3" fillId="7" borderId="9" xfId="112" applyNumberFormat="1" applyFont="1" applyFill="1" applyBorder="1" applyAlignment="1" applyProtection="1">
      <alignment horizontal="center" vertical="center"/>
      <protection locked="0"/>
    </xf>
    <xf numFmtId="181" fontId="3" fillId="7" borderId="10" xfId="112" applyNumberFormat="1" applyFont="1" applyFill="1" applyBorder="1" applyAlignment="1" applyProtection="1">
      <alignment horizontal="center" vertical="center"/>
      <protection locked="0"/>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4" fontId="3" fillId="7" borderId="10" xfId="0" applyNumberFormat="1" applyFont="1" applyFill="1" applyBorder="1" applyAlignment="1" applyProtection="1">
      <alignment horizontal="center" vertical="center" wrapText="1"/>
      <protection locked="0"/>
    </xf>
    <xf numFmtId="42" fontId="21" fillId="6" borderId="11" xfId="113" applyFont="1" applyFill="1" applyBorder="1" applyAlignment="1" applyProtection="1">
      <alignment horizontal="center" vertical="center" wrapText="1"/>
      <protection locked="0"/>
    </xf>
    <xf numFmtId="42" fontId="21" fillId="6" borderId="0" xfId="113" applyFont="1" applyFill="1" applyBorder="1" applyAlignment="1" applyProtection="1">
      <alignment horizontal="center" vertical="center" wrapText="1"/>
      <protection locked="0"/>
    </xf>
    <xf numFmtId="42" fontId="21" fillId="6" borderId="12" xfId="113" applyFont="1" applyFill="1" applyBorder="1" applyAlignment="1" applyProtection="1">
      <alignment horizontal="center" vertical="center" wrapText="1"/>
      <protection locked="0"/>
    </xf>
    <xf numFmtId="42" fontId="21" fillId="6" borderId="13" xfId="113" applyFont="1" applyFill="1" applyBorder="1" applyAlignment="1" applyProtection="1">
      <alignment horizontal="center" vertical="center" wrapText="1"/>
      <protection locked="0"/>
    </xf>
    <xf numFmtId="42" fontId="3" fillId="7" borderId="2" xfId="143" applyFont="1" applyFill="1" applyBorder="1" applyAlignment="1">
      <alignment horizontal="center" vertical="center"/>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42" fontId="3" fillId="7" borderId="2" xfId="113" applyFont="1" applyFill="1" applyBorder="1" applyAlignment="1">
      <alignment horizontal="center" vertical="center"/>
    </xf>
    <xf numFmtId="182" fontId="3" fillId="7" borderId="8" xfId="112" applyNumberFormat="1" applyFont="1" applyFill="1" applyBorder="1" applyAlignment="1" applyProtection="1">
      <alignment horizontal="center" vertical="center"/>
      <protection locked="0"/>
    </xf>
    <xf numFmtId="182" fontId="3" fillId="7" borderId="9" xfId="112" applyNumberFormat="1" applyFont="1" applyFill="1" applyBorder="1" applyAlignment="1" applyProtection="1">
      <alignment horizontal="center" vertical="center"/>
      <protection locked="0"/>
    </xf>
    <xf numFmtId="182" fontId="3" fillId="7" borderId="10" xfId="112" applyNumberFormat="1" applyFont="1" applyFill="1" applyBorder="1" applyAlignment="1" applyProtection="1">
      <alignment horizontal="center" vertical="center"/>
      <protection locked="0"/>
    </xf>
    <xf numFmtId="42" fontId="3" fillId="7" borderId="2" xfId="143" applyFont="1" applyFill="1" applyBorder="1" applyAlignment="1">
      <alignment horizontal="center" vertical="center" wrapText="1"/>
    </xf>
    <xf numFmtId="0" fontId="3" fillId="7" borderId="2"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3" fillId="0" borderId="12"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14" xfId="0" applyFont="1" applyFill="1" applyBorder="1" applyAlignment="1" applyProtection="1">
      <alignment horizontal="center"/>
    </xf>
    <xf numFmtId="0" fontId="21" fillId="7" borderId="2" xfId="0" applyFont="1" applyFill="1" applyBorder="1" applyAlignment="1">
      <alignment horizontal="left" vertical="center"/>
    </xf>
    <xf numFmtId="0" fontId="21" fillId="0" borderId="8"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1" fillId="0" borderId="8"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20" fontId="3" fillId="0" borderId="8" xfId="0" applyNumberFormat="1" applyFont="1" applyFill="1" applyBorder="1" applyAlignment="1">
      <alignment horizontal="justify" vertical="center" wrapText="1"/>
    </xf>
    <xf numFmtId="0" fontId="3" fillId="0" borderId="9"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15" fontId="3" fillId="0" borderId="8" xfId="0" applyNumberFormat="1" applyFont="1" applyFill="1" applyBorder="1" applyAlignment="1">
      <alignment horizontal="left" vertical="center" wrapText="1"/>
    </xf>
    <xf numFmtId="0" fontId="21" fillId="0" borderId="2" xfId="0" applyFont="1" applyFill="1" applyBorder="1" applyAlignment="1" applyProtection="1">
      <alignment horizontal="left" vertical="center" wrapText="1"/>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21" fillId="7"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1" fontId="3" fillId="7" borderId="2" xfId="112" applyFont="1" applyFill="1" applyBorder="1" applyAlignment="1">
      <alignment horizontal="right" vertical="center" wrapText="1"/>
    </xf>
    <xf numFmtId="0" fontId="3" fillId="7" borderId="8"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10" xfId="0" applyFont="1" applyFill="1" applyBorder="1" applyAlignment="1">
      <alignment horizontal="justify" vertical="center" wrapText="1"/>
    </xf>
    <xf numFmtId="0" fontId="3" fillId="7" borderId="2" xfId="0" applyFont="1" applyFill="1" applyBorder="1" applyAlignment="1">
      <alignment horizontal="right" vertical="center" wrapText="1"/>
    </xf>
    <xf numFmtId="9" fontId="3" fillId="7" borderId="2" xfId="99" applyFont="1" applyFill="1" applyBorder="1" applyAlignment="1">
      <alignment horizontal="right" vertical="center" wrapText="1"/>
    </xf>
    <xf numFmtId="0" fontId="3" fillId="7" borderId="4" xfId="0" applyFont="1" applyFill="1" applyBorder="1" applyAlignment="1" applyProtection="1">
      <alignment horizontal="justify" vertical="center" wrapText="1"/>
    </xf>
    <xf numFmtId="180" fontId="3" fillId="7" borderId="2" xfId="99" applyNumberFormat="1" applyFont="1" applyFill="1" applyBorder="1" applyAlignment="1">
      <alignment horizontal="right" vertical="center" wrapText="1"/>
    </xf>
    <xf numFmtId="0" fontId="21" fillId="6" borderId="2" xfId="0" applyFont="1" applyFill="1" applyBorder="1" applyAlignment="1" applyProtection="1">
      <alignment horizontal="center" vertical="center" wrapText="1"/>
      <protection locked="0"/>
    </xf>
    <xf numFmtId="0" fontId="21" fillId="6" borderId="2" xfId="0" applyFont="1" applyFill="1" applyBorder="1" applyAlignment="1">
      <alignment horizontal="justify" vertical="center" wrapText="1"/>
    </xf>
    <xf numFmtId="9" fontId="21" fillId="6" borderId="2" xfId="99" applyFont="1" applyFill="1" applyBorder="1" applyAlignment="1" applyProtection="1">
      <alignment horizontal="center" vertical="center" wrapText="1"/>
      <protection locked="0"/>
    </xf>
    <xf numFmtId="0" fontId="21" fillId="6" borderId="3" xfId="0" applyFont="1" applyFill="1" applyBorder="1" applyAlignment="1" applyProtection="1">
      <alignment horizontal="right" vertical="center" wrapText="1"/>
      <protection locked="0"/>
    </xf>
    <xf numFmtId="0" fontId="21" fillId="6" borderId="5" xfId="0" applyFont="1" applyFill="1" applyBorder="1" applyAlignment="1" applyProtection="1">
      <alignment horizontal="right" vertical="center" wrapText="1"/>
      <protection locked="0"/>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3" fillId="7" borderId="3"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0" fontId="21" fillId="6" borderId="6" xfId="0" applyFont="1" applyFill="1" applyBorder="1" applyAlignment="1">
      <alignment horizontal="center" vertical="center" textRotation="255" wrapText="1"/>
    </xf>
    <xf numFmtId="0" fontId="21" fillId="7" borderId="7" xfId="0" applyFont="1" applyFill="1" applyBorder="1" applyAlignment="1">
      <alignment horizontal="center" vertical="center" textRotation="255" wrapText="1"/>
    </xf>
    <xf numFmtId="0" fontId="21" fillId="6" borderId="7" xfId="0" applyFont="1" applyFill="1" applyBorder="1" applyAlignment="1">
      <alignment horizontal="center" vertical="center" textRotation="255" wrapText="1"/>
    </xf>
    <xf numFmtId="0" fontId="21" fillId="8" borderId="7" xfId="0" applyFont="1" applyFill="1" applyBorder="1" applyAlignment="1">
      <alignment horizontal="center" vertical="center" textRotation="255" wrapText="1"/>
    </xf>
    <xf numFmtId="0" fontId="3" fillId="7" borderId="2" xfId="0" applyFont="1" applyFill="1" applyBorder="1" applyAlignment="1" applyProtection="1">
      <alignment horizontal="justify" vertical="center" wrapText="1"/>
    </xf>
    <xf numFmtId="0" fontId="3" fillId="7" borderId="4" xfId="0" applyFont="1" applyFill="1" applyBorder="1" applyAlignment="1" applyProtection="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3" fillId="7" borderId="8" xfId="0" quotePrefix="1" applyFont="1" applyFill="1" applyBorder="1" applyAlignment="1">
      <alignment horizontal="justify" vertical="center" wrapText="1"/>
    </xf>
    <xf numFmtId="0" fontId="3" fillId="7" borderId="9" xfId="0" quotePrefix="1" applyFont="1" applyFill="1" applyBorder="1" applyAlignment="1">
      <alignment horizontal="justify" vertical="center" wrapText="1"/>
    </xf>
    <xf numFmtId="0" fontId="3" fillId="7" borderId="10" xfId="0" quotePrefix="1" applyFont="1" applyFill="1" applyBorder="1" applyAlignment="1">
      <alignment horizontal="justify" vertical="center" wrapText="1"/>
    </xf>
    <xf numFmtId="181" fontId="3" fillId="7" borderId="8" xfId="142" applyNumberFormat="1" applyFont="1" applyFill="1" applyBorder="1" applyAlignment="1" applyProtection="1">
      <alignment horizontal="center" vertical="center"/>
      <protection locked="0"/>
    </xf>
    <xf numFmtId="181" fontId="3" fillId="7" borderId="9" xfId="142" applyNumberFormat="1" applyFont="1" applyFill="1" applyBorder="1" applyAlignment="1" applyProtection="1">
      <alignment horizontal="center" vertical="center"/>
      <protection locked="0"/>
    </xf>
    <xf numFmtId="181" fontId="3" fillId="7" borderId="10" xfId="142" applyNumberFormat="1" applyFont="1" applyFill="1" applyBorder="1" applyAlignment="1" applyProtection="1">
      <alignment horizontal="center" vertical="center"/>
      <protection locked="0"/>
    </xf>
    <xf numFmtId="182" fontId="3" fillId="7" borderId="8" xfId="142" applyNumberFormat="1" applyFont="1" applyFill="1" applyBorder="1" applyAlignment="1" applyProtection="1">
      <alignment horizontal="center" vertical="center"/>
      <protection locked="0"/>
    </xf>
    <xf numFmtId="182" fontId="3" fillId="7" borderId="9" xfId="142" applyNumberFormat="1" applyFont="1" applyFill="1" applyBorder="1" applyAlignment="1" applyProtection="1">
      <alignment horizontal="center" vertical="center"/>
      <protection locked="0"/>
    </xf>
    <xf numFmtId="182" fontId="3" fillId="7" borderId="10" xfId="142" applyNumberFormat="1" applyFont="1" applyFill="1" applyBorder="1" applyAlignment="1" applyProtection="1">
      <alignment horizontal="center" vertical="center"/>
      <protection locked="0"/>
    </xf>
    <xf numFmtId="4" fontId="3" fillId="7" borderId="8" xfId="0" applyNumberFormat="1" applyFont="1" applyFill="1" applyBorder="1" applyAlignment="1" applyProtection="1">
      <alignment horizontal="center" vertical="center"/>
      <protection locked="0"/>
    </xf>
    <xf numFmtId="0" fontId="3" fillId="7" borderId="15" xfId="0" applyFont="1" applyFill="1" applyBorder="1" applyAlignment="1" applyProtection="1">
      <alignment horizontal="justify" vertical="center" wrapText="1"/>
      <protection locked="0"/>
    </xf>
    <xf numFmtId="0" fontId="3" fillId="7" borderId="11" xfId="0" applyFont="1" applyFill="1" applyBorder="1" applyAlignment="1" applyProtection="1">
      <alignment horizontal="justify" vertical="center" wrapText="1"/>
      <protection locked="0"/>
    </xf>
    <xf numFmtId="4" fontId="3" fillId="7" borderId="8" xfId="142" applyNumberFormat="1" applyFont="1" applyFill="1" applyBorder="1" applyAlignment="1" applyProtection="1">
      <alignment horizontal="center" vertical="center"/>
      <protection locked="0"/>
    </xf>
    <xf numFmtId="4" fontId="3" fillId="7" borderId="9" xfId="142" applyNumberFormat="1" applyFont="1" applyFill="1" applyBorder="1" applyAlignment="1" applyProtection="1">
      <alignment horizontal="center" vertical="center"/>
      <protection locked="0"/>
    </xf>
    <xf numFmtId="4" fontId="3" fillId="7" borderId="10" xfId="142" applyNumberFormat="1" applyFont="1" applyFill="1" applyBorder="1" applyAlignment="1" applyProtection="1">
      <alignment horizontal="center" vertical="center"/>
      <protection locked="0"/>
    </xf>
    <xf numFmtId="4" fontId="21" fillId="7" borderId="8" xfId="142" applyNumberFormat="1" applyFont="1" applyFill="1" applyBorder="1" applyAlignment="1" applyProtection="1">
      <alignment horizontal="center" vertical="center"/>
      <protection locked="0"/>
    </xf>
    <xf numFmtId="4" fontId="21" fillId="7" borderId="9" xfId="142" applyNumberFormat="1" applyFont="1" applyFill="1" applyBorder="1" applyAlignment="1" applyProtection="1">
      <alignment horizontal="center" vertical="center"/>
      <protection locked="0"/>
    </xf>
    <xf numFmtId="4" fontId="21" fillId="7" borderId="10" xfId="142" applyNumberFormat="1" applyFont="1" applyFill="1" applyBorder="1" applyAlignment="1" applyProtection="1">
      <alignment horizontal="center" vertical="center"/>
      <protection locked="0"/>
    </xf>
    <xf numFmtId="0" fontId="21" fillId="7" borderId="2" xfId="0" applyFont="1" applyFill="1" applyBorder="1" applyAlignment="1">
      <alignment horizontal="right" vertical="center" wrapText="1"/>
    </xf>
    <xf numFmtId="183" fontId="3" fillId="7" borderId="8" xfId="0" applyNumberFormat="1" applyFont="1" applyFill="1" applyBorder="1" applyAlignment="1" applyProtection="1">
      <alignment horizontal="center" vertical="center" wrapText="1"/>
      <protection locked="0"/>
    </xf>
    <xf numFmtId="183" fontId="3" fillId="7" borderId="9" xfId="0" applyNumberFormat="1" applyFont="1" applyFill="1" applyBorder="1" applyAlignment="1" applyProtection="1">
      <alignment horizontal="center" vertical="center" wrapText="1"/>
      <protection locked="0"/>
    </xf>
    <xf numFmtId="183" fontId="3" fillId="7" borderId="10" xfId="0" applyNumberFormat="1" applyFont="1" applyFill="1" applyBorder="1" applyAlignment="1" applyProtection="1">
      <alignment horizontal="center" vertical="center" wrapText="1"/>
      <protection locked="0"/>
    </xf>
    <xf numFmtId="42" fontId="3" fillId="7" borderId="3" xfId="143" applyFont="1" applyFill="1" applyBorder="1" applyAlignment="1" applyProtection="1">
      <alignment horizontal="center" vertical="center" wrapText="1"/>
      <protection locked="0"/>
    </xf>
    <xf numFmtId="42" fontId="3" fillId="7" borderId="5" xfId="143" applyFont="1" applyFill="1" applyBorder="1" applyAlignment="1" applyProtection="1">
      <alignment horizontal="center" vertical="center" wrapText="1"/>
      <protection locked="0"/>
    </xf>
    <xf numFmtId="4" fontId="3" fillId="7" borderId="0" xfId="0" applyNumberFormat="1"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horizontal="center" vertical="center"/>
      <protection locked="0"/>
    </xf>
    <xf numFmtId="4" fontId="3" fillId="7" borderId="2" xfId="0" applyNumberFormat="1"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83777</xdr:colOff>
      <xdr:row>1</xdr:row>
      <xdr:rowOff>80698</xdr:rowOff>
    </xdr:from>
    <xdr:to>
      <xdr:col>4</xdr:col>
      <xdr:colOff>443256</xdr:colOff>
      <xdr:row>4</xdr:row>
      <xdr:rowOff>250030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9746" y="140229"/>
          <a:ext cx="1502479" cy="124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97"/>
  <sheetViews>
    <sheetView showGridLines="0" tabSelected="1" topLeftCell="A10" zoomScale="60" zoomScaleNormal="60" zoomScaleSheetLayoutView="70" zoomScalePageLayoutView="25" workbookViewId="0">
      <pane ySplit="2" topLeftCell="A12" activePane="bottomLeft" state="frozen"/>
      <selection activeCell="E10" sqref="E10"/>
      <selection pane="bottomLeft" activeCell="A12" sqref="A12"/>
    </sheetView>
  </sheetViews>
  <sheetFormatPr baseColWidth="10" defaultColWidth="9.85546875" defaultRowHeight="15" customHeight="1" x14ac:dyDescent="0.2"/>
  <cols>
    <col min="1" max="1" width="2" style="5" customWidth="1"/>
    <col min="2" max="2" width="11.42578125" style="5" hidden="1" customWidth="1"/>
    <col min="3" max="3" width="17.140625" style="20" hidden="1" customWidth="1"/>
    <col min="4" max="4" width="17.140625" style="5" hidden="1" customWidth="1"/>
    <col min="5" max="5" width="18.42578125" style="5" hidden="1" customWidth="1"/>
    <col min="6" max="6" width="25" style="12" customWidth="1"/>
    <col min="7" max="7" width="27.5703125" style="12" customWidth="1"/>
    <col min="8" max="8" width="17.28515625" style="12" customWidth="1"/>
    <col min="9" max="9" width="10" style="12" customWidth="1"/>
    <col min="10" max="10" width="13.85546875" style="20" customWidth="1"/>
    <col min="11" max="11" width="19" style="25" customWidth="1"/>
    <col min="12" max="12" width="12.42578125" style="17" customWidth="1"/>
    <col min="13" max="13" width="9.28515625" style="17" customWidth="1"/>
    <col min="14" max="14" width="11" style="17" customWidth="1"/>
    <col min="15" max="16" width="13" style="17" customWidth="1"/>
    <col min="17" max="17" width="10.5703125" style="17" customWidth="1"/>
    <col min="18" max="19" width="12.85546875" style="17" customWidth="1"/>
    <col min="20" max="21" width="13.42578125" style="17" customWidth="1"/>
    <col min="22" max="22" width="15.28515625" style="17" customWidth="1"/>
    <col min="23" max="23" width="14.5703125" style="24" customWidth="1"/>
    <col min="24" max="29" width="4.85546875" style="5" customWidth="1"/>
    <col min="30" max="30" width="8.140625" style="5" customWidth="1"/>
    <col min="31" max="35" width="4.85546875" style="5" customWidth="1"/>
    <col min="36" max="36" width="14.28515625" style="9" customWidth="1"/>
    <col min="37" max="37" width="15.42578125" style="6" customWidth="1"/>
    <col min="38" max="38" width="39.5703125" style="12" customWidth="1"/>
    <col min="39" max="39" width="34.85546875" style="5" customWidth="1"/>
    <col min="40" max="40" width="44.85546875" style="12" customWidth="1"/>
    <col min="41" max="42" width="18.42578125" style="22" hidden="1" customWidth="1"/>
    <col min="43" max="44" width="17.85546875" style="5" customWidth="1"/>
    <col min="45" max="47" width="9.85546875" style="53"/>
    <col min="48" max="48" width="14" style="53" customWidth="1"/>
    <col min="49" max="16384" width="9.85546875" style="53"/>
  </cols>
  <sheetData>
    <row r="1" spans="1:48" ht="4.5" customHeight="1" x14ac:dyDescent="0.2"/>
    <row r="2" spans="1:48" ht="28.5" customHeight="1" x14ac:dyDescent="0.2">
      <c r="B2" s="185"/>
      <c r="C2" s="186"/>
      <c r="D2" s="186"/>
      <c r="E2" s="186"/>
      <c r="F2" s="187"/>
      <c r="G2" s="195" t="s">
        <v>2312</v>
      </c>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7"/>
      <c r="AV2" s="54" t="s">
        <v>2258</v>
      </c>
    </row>
    <row r="3" spans="1:48" ht="28.5" customHeight="1" x14ac:dyDescent="0.2">
      <c r="B3" s="188"/>
      <c r="C3" s="189"/>
      <c r="D3" s="189"/>
      <c r="E3" s="189"/>
      <c r="F3" s="190"/>
      <c r="G3" s="195" t="s">
        <v>2309</v>
      </c>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7"/>
      <c r="AV3" s="54" t="s">
        <v>2259</v>
      </c>
    </row>
    <row r="4" spans="1:48" ht="28.5" customHeight="1" x14ac:dyDescent="0.2">
      <c r="B4" s="188"/>
      <c r="C4" s="189"/>
      <c r="D4" s="189"/>
      <c r="E4" s="189"/>
      <c r="F4" s="190"/>
      <c r="G4" s="195" t="s">
        <v>2254</v>
      </c>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7"/>
      <c r="AV4" s="54" t="s">
        <v>2260</v>
      </c>
    </row>
    <row r="5" spans="1:48" ht="28.5" customHeight="1" x14ac:dyDescent="0.2">
      <c r="B5" s="191"/>
      <c r="C5" s="192"/>
      <c r="D5" s="192"/>
      <c r="E5" s="192"/>
      <c r="F5" s="193"/>
      <c r="G5" s="198" t="s">
        <v>2310</v>
      </c>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200"/>
      <c r="AI5" s="208" t="s">
        <v>2311</v>
      </c>
      <c r="AJ5" s="208"/>
      <c r="AK5" s="208"/>
      <c r="AL5" s="208"/>
      <c r="AM5" s="208"/>
      <c r="AN5" s="208"/>
      <c r="AO5" s="208"/>
      <c r="AP5" s="208"/>
      <c r="AV5" s="54" t="s">
        <v>2261</v>
      </c>
    </row>
    <row r="6" spans="1:48" ht="18" customHeight="1" x14ac:dyDescent="0.2">
      <c r="B6" s="194" t="s">
        <v>2430</v>
      </c>
      <c r="C6" s="194"/>
      <c r="D6" s="194"/>
      <c r="E6" s="194"/>
      <c r="F6" s="194"/>
      <c r="G6" s="201" t="s">
        <v>2431</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3"/>
    </row>
    <row r="7" spans="1:48" ht="18" customHeight="1" x14ac:dyDescent="0.2">
      <c r="B7" s="194" t="s">
        <v>2429</v>
      </c>
      <c r="C7" s="194"/>
      <c r="D7" s="194"/>
      <c r="E7" s="194"/>
      <c r="F7" s="194"/>
      <c r="G7" s="204" t="s">
        <v>2441</v>
      </c>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6"/>
    </row>
    <row r="8" spans="1:48" ht="18" customHeight="1" x14ac:dyDescent="0.2">
      <c r="B8" s="194" t="s">
        <v>2268</v>
      </c>
      <c r="C8" s="194"/>
      <c r="D8" s="194"/>
      <c r="E8" s="194"/>
      <c r="F8" s="194"/>
      <c r="G8" s="207" t="s">
        <v>2460</v>
      </c>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6"/>
    </row>
    <row r="9" spans="1:48" ht="36" customHeight="1" x14ac:dyDescent="0.2">
      <c r="B9" s="226" t="s">
        <v>2471</v>
      </c>
      <c r="C9" s="227"/>
      <c r="D9" s="227"/>
      <c r="E9" s="228"/>
      <c r="F9" s="222" t="s">
        <v>2395</v>
      </c>
      <c r="G9" s="222"/>
      <c r="H9" s="222"/>
      <c r="I9" s="222"/>
      <c r="J9" s="221" t="s">
        <v>685</v>
      </c>
      <c r="K9" s="221"/>
      <c r="L9" s="221"/>
      <c r="M9" s="221"/>
      <c r="N9" s="221"/>
      <c r="O9" s="221"/>
      <c r="P9" s="221"/>
      <c r="Q9" s="221"/>
      <c r="R9" s="221"/>
      <c r="S9" s="221"/>
      <c r="T9" s="221"/>
      <c r="U9" s="221"/>
      <c r="V9" s="221"/>
      <c r="W9" s="221"/>
      <c r="X9" s="174" t="s">
        <v>2469</v>
      </c>
      <c r="Y9" s="175"/>
      <c r="Z9" s="175"/>
      <c r="AA9" s="175"/>
      <c r="AB9" s="175"/>
      <c r="AC9" s="175"/>
      <c r="AD9" s="175"/>
      <c r="AE9" s="175"/>
      <c r="AF9" s="175"/>
      <c r="AG9" s="175"/>
      <c r="AH9" s="175"/>
      <c r="AI9" s="175"/>
      <c r="AJ9" s="175"/>
      <c r="AK9" s="175"/>
      <c r="AL9" s="175"/>
      <c r="AM9" s="175"/>
      <c r="AN9" s="175"/>
      <c r="AO9" s="169" t="s">
        <v>2470</v>
      </c>
      <c r="AP9" s="170"/>
      <c r="AQ9" s="170"/>
      <c r="AR9" s="170"/>
    </row>
    <row r="10" spans="1:48" ht="36" customHeight="1" x14ac:dyDescent="0.2">
      <c r="B10" s="229"/>
      <c r="C10" s="230"/>
      <c r="D10" s="230"/>
      <c r="E10" s="231"/>
      <c r="F10" s="222"/>
      <c r="G10" s="222"/>
      <c r="H10" s="222"/>
      <c r="I10" s="222"/>
      <c r="J10" s="174" t="s">
        <v>2318</v>
      </c>
      <c r="K10" s="174"/>
      <c r="L10" s="174">
        <v>2020</v>
      </c>
      <c r="M10" s="174"/>
      <c r="N10" s="174">
        <v>2021</v>
      </c>
      <c r="O10" s="174"/>
      <c r="P10" s="174">
        <v>2022</v>
      </c>
      <c r="Q10" s="174"/>
      <c r="R10" s="174">
        <v>2023</v>
      </c>
      <c r="S10" s="174"/>
      <c r="T10" s="174">
        <v>2024</v>
      </c>
      <c r="U10" s="174"/>
      <c r="V10" s="224" t="s">
        <v>2240</v>
      </c>
      <c r="W10" s="223" t="s">
        <v>2255</v>
      </c>
      <c r="X10" s="175"/>
      <c r="Y10" s="175"/>
      <c r="Z10" s="175"/>
      <c r="AA10" s="175"/>
      <c r="AB10" s="175"/>
      <c r="AC10" s="175"/>
      <c r="AD10" s="175"/>
      <c r="AE10" s="175"/>
      <c r="AF10" s="175"/>
      <c r="AG10" s="175"/>
      <c r="AH10" s="175"/>
      <c r="AI10" s="175"/>
      <c r="AJ10" s="175"/>
      <c r="AK10" s="175"/>
      <c r="AL10" s="175"/>
      <c r="AM10" s="175"/>
      <c r="AN10" s="175"/>
      <c r="AO10" s="171"/>
      <c r="AP10" s="172"/>
      <c r="AQ10" s="172"/>
      <c r="AR10" s="172"/>
    </row>
    <row r="11" spans="1:48" s="55" customFormat="1" ht="51.75" customHeight="1" x14ac:dyDescent="0.2">
      <c r="A11" s="8"/>
      <c r="B11" s="235" t="s">
        <v>2262</v>
      </c>
      <c r="C11" s="27" t="s">
        <v>2274</v>
      </c>
      <c r="D11" s="7" t="s">
        <v>2396</v>
      </c>
      <c r="E11" s="7" t="s">
        <v>2263</v>
      </c>
      <c r="F11" s="16" t="s">
        <v>2317</v>
      </c>
      <c r="G11" s="16" t="s">
        <v>2316</v>
      </c>
      <c r="H11" s="16" t="s">
        <v>2238</v>
      </c>
      <c r="I11" s="16" t="s">
        <v>2239</v>
      </c>
      <c r="J11" s="21" t="s">
        <v>2257</v>
      </c>
      <c r="K11" s="19" t="s">
        <v>2256</v>
      </c>
      <c r="L11" s="18" t="s">
        <v>692</v>
      </c>
      <c r="M11" s="18" t="s">
        <v>2234</v>
      </c>
      <c r="N11" s="18" t="s">
        <v>692</v>
      </c>
      <c r="O11" s="18" t="s">
        <v>2234</v>
      </c>
      <c r="P11" s="18" t="s">
        <v>692</v>
      </c>
      <c r="Q11" s="18" t="s">
        <v>2234</v>
      </c>
      <c r="R11" s="18" t="s">
        <v>692</v>
      </c>
      <c r="S11" s="18" t="s">
        <v>2234</v>
      </c>
      <c r="T11" s="18" t="s">
        <v>692</v>
      </c>
      <c r="U11" s="18" t="s">
        <v>2234</v>
      </c>
      <c r="V11" s="225"/>
      <c r="W11" s="223"/>
      <c r="X11" s="15" t="s">
        <v>2241</v>
      </c>
      <c r="Y11" s="15" t="s">
        <v>2242</v>
      </c>
      <c r="Z11" s="15" t="s">
        <v>2243</v>
      </c>
      <c r="AA11" s="15" t="s">
        <v>2244</v>
      </c>
      <c r="AB11" s="15" t="s">
        <v>2245</v>
      </c>
      <c r="AC11" s="15" t="s">
        <v>2246</v>
      </c>
      <c r="AD11" s="15" t="s">
        <v>2247</v>
      </c>
      <c r="AE11" s="15" t="s">
        <v>2248</v>
      </c>
      <c r="AF11" s="15" t="s">
        <v>2249</v>
      </c>
      <c r="AG11" s="15" t="s">
        <v>2250</v>
      </c>
      <c r="AH11" s="15" t="s">
        <v>2251</v>
      </c>
      <c r="AI11" s="15" t="s">
        <v>2252</v>
      </c>
      <c r="AJ11" s="14" t="s">
        <v>2266</v>
      </c>
      <c r="AK11" s="14" t="s">
        <v>2253</v>
      </c>
      <c r="AL11" s="13" t="s">
        <v>2264</v>
      </c>
      <c r="AM11" s="14" t="s">
        <v>2267</v>
      </c>
      <c r="AN11" s="13" t="s">
        <v>2265</v>
      </c>
      <c r="AO11" s="23" t="s">
        <v>2314</v>
      </c>
      <c r="AP11" s="23" t="s">
        <v>2315</v>
      </c>
      <c r="AQ11" s="41" t="s">
        <v>2472</v>
      </c>
      <c r="AR11" s="52" t="s">
        <v>2473</v>
      </c>
    </row>
    <row r="12" spans="1:48" s="11" customFormat="1" ht="134.25" customHeight="1" x14ac:dyDescent="0.2">
      <c r="A12" s="9"/>
      <c r="B12" s="236"/>
      <c r="C12" s="107" t="s">
        <v>2272</v>
      </c>
      <c r="D12" s="104" t="s">
        <v>2432</v>
      </c>
      <c r="E12" s="104" t="s">
        <v>2397</v>
      </c>
      <c r="F12" s="104" t="s">
        <v>2359</v>
      </c>
      <c r="G12" s="104" t="s">
        <v>2358</v>
      </c>
      <c r="H12" s="104" t="s">
        <v>2360</v>
      </c>
      <c r="I12" s="110" t="s">
        <v>2269</v>
      </c>
      <c r="J12" s="68" t="s">
        <v>2261</v>
      </c>
      <c r="K12" s="86">
        <f>+L12+N12+P12+R12+T12</f>
        <v>146</v>
      </c>
      <c r="L12" s="28">
        <v>7.02</v>
      </c>
      <c r="M12" s="28">
        <v>0</v>
      </c>
      <c r="N12" s="29">
        <v>21.21</v>
      </c>
      <c r="O12" s="29">
        <v>9.8000000000000007</v>
      </c>
      <c r="P12" s="29">
        <v>46</v>
      </c>
      <c r="Q12" s="29"/>
      <c r="R12" s="29">
        <v>43.77</v>
      </c>
      <c r="S12" s="29"/>
      <c r="T12" s="29">
        <v>28</v>
      </c>
      <c r="U12" s="29"/>
      <c r="V12" s="82">
        <f>M12+O12+S12+S12+U12</f>
        <v>9.8000000000000007</v>
      </c>
      <c r="W12" s="62">
        <f>V12/138.98</f>
        <v>7.0513742984602112E-2</v>
      </c>
      <c r="X12" s="157">
        <f>O12</f>
        <v>9.8000000000000007</v>
      </c>
      <c r="Y12" s="158"/>
      <c r="Z12" s="159"/>
      <c r="AA12" s="177">
        <v>9.8000000000000007</v>
      </c>
      <c r="AB12" s="178"/>
      <c r="AC12" s="179"/>
      <c r="AD12" s="177">
        <v>9.8000000000000007</v>
      </c>
      <c r="AE12" s="178"/>
      <c r="AF12" s="179"/>
      <c r="AG12" s="160">
        <v>0</v>
      </c>
      <c r="AH12" s="161"/>
      <c r="AI12" s="162"/>
      <c r="AJ12" s="87">
        <f>MAX(X12:AI12)</f>
        <v>9.8000000000000007</v>
      </c>
      <c r="AK12" s="62">
        <f>X12/N12</f>
        <v>0.46204620462046209</v>
      </c>
      <c r="AL12" s="116" t="s">
        <v>2495</v>
      </c>
      <c r="AM12" s="271" t="s">
        <v>2474</v>
      </c>
      <c r="AN12" s="147" t="s">
        <v>2496</v>
      </c>
      <c r="AO12" s="151">
        <v>576083</v>
      </c>
      <c r="AP12" s="151">
        <v>175640</v>
      </c>
      <c r="AQ12" s="180">
        <v>1033838</v>
      </c>
      <c r="AR12" s="180">
        <v>269300</v>
      </c>
    </row>
    <row r="13" spans="1:48" s="11" customFormat="1" ht="134.25" customHeight="1" x14ac:dyDescent="0.2">
      <c r="A13" s="9"/>
      <c r="B13" s="236"/>
      <c r="C13" s="107" t="s">
        <v>2272</v>
      </c>
      <c r="D13" s="104" t="s">
        <v>2432</v>
      </c>
      <c r="E13" s="104" t="s">
        <v>2397</v>
      </c>
      <c r="F13" s="104" t="s">
        <v>2536</v>
      </c>
      <c r="G13" s="104" t="s">
        <v>2358</v>
      </c>
      <c r="H13" s="104" t="s">
        <v>2535</v>
      </c>
      <c r="I13" s="110" t="s">
        <v>2269</v>
      </c>
      <c r="J13" s="68" t="s">
        <v>2261</v>
      </c>
      <c r="K13" s="86">
        <v>100</v>
      </c>
      <c r="L13" s="28">
        <v>0</v>
      </c>
      <c r="M13" s="28">
        <v>0</v>
      </c>
      <c r="N13" s="29">
        <v>50</v>
      </c>
      <c r="O13" s="29">
        <v>0</v>
      </c>
      <c r="P13" s="29">
        <v>35</v>
      </c>
      <c r="Q13" s="29">
        <v>0</v>
      </c>
      <c r="R13" s="29">
        <v>15</v>
      </c>
      <c r="S13" s="29">
        <v>0</v>
      </c>
      <c r="T13" s="29">
        <v>0</v>
      </c>
      <c r="U13" s="29">
        <v>0</v>
      </c>
      <c r="V13" s="82">
        <v>0</v>
      </c>
      <c r="W13" s="62">
        <v>0</v>
      </c>
      <c r="X13" s="157">
        <v>0</v>
      </c>
      <c r="Y13" s="158"/>
      <c r="Z13" s="159"/>
      <c r="AA13" s="157">
        <v>0</v>
      </c>
      <c r="AB13" s="158"/>
      <c r="AC13" s="159"/>
      <c r="AD13" s="181">
        <v>0</v>
      </c>
      <c r="AE13" s="181"/>
      <c r="AF13" s="181"/>
      <c r="AG13" s="181"/>
      <c r="AH13" s="181"/>
      <c r="AI13" s="181"/>
      <c r="AJ13" s="88">
        <v>0</v>
      </c>
      <c r="AK13" s="88">
        <v>0</v>
      </c>
      <c r="AL13" s="117" t="s">
        <v>2571</v>
      </c>
      <c r="AM13" s="272"/>
      <c r="AN13" s="149"/>
      <c r="AO13" s="152"/>
      <c r="AP13" s="152"/>
      <c r="AQ13" s="180"/>
      <c r="AR13" s="180"/>
    </row>
    <row r="14" spans="1:48" s="56" customFormat="1" ht="52.5" customHeight="1" x14ac:dyDescent="0.2">
      <c r="A14" s="32"/>
      <c r="B14" s="236"/>
      <c r="C14" s="232" t="s">
        <v>2272</v>
      </c>
      <c r="D14" s="209" t="s">
        <v>2432</v>
      </c>
      <c r="E14" s="209" t="s">
        <v>2397</v>
      </c>
      <c r="F14" s="209" t="s">
        <v>2343</v>
      </c>
      <c r="G14" s="45" t="s">
        <v>2344</v>
      </c>
      <c r="H14" s="209" t="s">
        <v>2346</v>
      </c>
      <c r="I14" s="110" t="s">
        <v>2235</v>
      </c>
      <c r="J14" s="68" t="s">
        <v>2261</v>
      </c>
      <c r="K14" s="89">
        <v>56</v>
      </c>
      <c r="L14" s="70">
        <v>25.16</v>
      </c>
      <c r="M14" s="28">
        <v>25.16</v>
      </c>
      <c r="N14" s="70">
        <v>15</v>
      </c>
      <c r="O14" s="70">
        <v>11.77</v>
      </c>
      <c r="P14" s="70">
        <v>7</v>
      </c>
      <c r="Q14" s="70"/>
      <c r="R14" s="70">
        <v>6.84</v>
      </c>
      <c r="S14" s="70"/>
      <c r="T14" s="70">
        <v>2</v>
      </c>
      <c r="U14" s="70">
        <v>0</v>
      </c>
      <c r="V14" s="82">
        <f>M14+O14+S14+Q14+U14</f>
        <v>36.93</v>
      </c>
      <c r="W14" s="62">
        <f>(V14/K14)</f>
        <v>0.65946428571428573</v>
      </c>
      <c r="X14" s="157">
        <v>10.84</v>
      </c>
      <c r="Y14" s="158"/>
      <c r="Z14" s="159"/>
      <c r="AA14" s="163">
        <v>11.77</v>
      </c>
      <c r="AB14" s="164"/>
      <c r="AC14" s="165"/>
      <c r="AD14" s="160">
        <v>11.77</v>
      </c>
      <c r="AE14" s="161"/>
      <c r="AF14" s="162"/>
      <c r="AG14" s="160">
        <v>0</v>
      </c>
      <c r="AH14" s="161"/>
      <c r="AI14" s="162"/>
      <c r="AJ14" s="87">
        <f>MAX(X14:AI14)</f>
        <v>11.77</v>
      </c>
      <c r="AK14" s="62">
        <f>AA14/N14</f>
        <v>0.78466666666666662</v>
      </c>
      <c r="AL14" s="118" t="s">
        <v>2573</v>
      </c>
      <c r="AM14" s="147" t="s">
        <v>2475</v>
      </c>
      <c r="AN14" s="147" t="s">
        <v>2497</v>
      </c>
      <c r="AO14" s="121">
        <v>364</v>
      </c>
      <c r="AP14" s="121">
        <v>118</v>
      </c>
      <c r="AQ14" s="122">
        <v>314</v>
      </c>
      <c r="AR14" s="122">
        <v>193</v>
      </c>
    </row>
    <row r="15" spans="1:48" s="56" customFormat="1" ht="52.5" customHeight="1" x14ac:dyDescent="0.2">
      <c r="A15" s="32"/>
      <c r="B15" s="236"/>
      <c r="C15" s="234"/>
      <c r="D15" s="210"/>
      <c r="E15" s="210"/>
      <c r="F15" s="210"/>
      <c r="G15" s="45" t="s">
        <v>2344</v>
      </c>
      <c r="H15" s="210"/>
      <c r="I15" s="110" t="s">
        <v>2269</v>
      </c>
      <c r="J15" s="68" t="s">
        <v>2261</v>
      </c>
      <c r="K15" s="89">
        <v>224</v>
      </c>
      <c r="L15" s="70">
        <v>3.87</v>
      </c>
      <c r="M15" s="28">
        <v>0</v>
      </c>
      <c r="N15" s="70">
        <v>7.9</v>
      </c>
      <c r="O15" s="70">
        <v>2.83</v>
      </c>
      <c r="P15" s="70">
        <v>22.7</v>
      </c>
      <c r="Q15" s="70"/>
      <c r="R15" s="70">
        <v>94.43</v>
      </c>
      <c r="S15" s="70"/>
      <c r="T15" s="70">
        <v>95.1</v>
      </c>
      <c r="U15" s="70"/>
      <c r="V15" s="82">
        <f>M15+O15+S15+Q15+U15</f>
        <v>2.83</v>
      </c>
      <c r="W15" s="62">
        <f>(V15/220.13)</f>
        <v>1.2856039612955981E-2</v>
      </c>
      <c r="X15" s="157">
        <v>0.87</v>
      </c>
      <c r="Y15" s="158"/>
      <c r="Z15" s="159"/>
      <c r="AA15" s="163">
        <v>2.83</v>
      </c>
      <c r="AB15" s="164"/>
      <c r="AC15" s="165"/>
      <c r="AD15" s="163">
        <v>2.83</v>
      </c>
      <c r="AE15" s="164"/>
      <c r="AF15" s="165"/>
      <c r="AG15" s="160">
        <v>0</v>
      </c>
      <c r="AH15" s="161"/>
      <c r="AI15" s="162"/>
      <c r="AJ15" s="90">
        <f>MAX(X15:AI15)</f>
        <v>2.83</v>
      </c>
      <c r="AK15" s="62">
        <f>AA15/N15</f>
        <v>0.35822784810126579</v>
      </c>
      <c r="AL15" s="119" t="s">
        <v>2572</v>
      </c>
      <c r="AM15" s="149"/>
      <c r="AN15" s="149"/>
      <c r="AO15" s="121">
        <v>25610</v>
      </c>
      <c r="AP15" s="121">
        <v>25501</v>
      </c>
      <c r="AQ15" s="123">
        <v>5053</v>
      </c>
      <c r="AR15" s="123">
        <v>1888</v>
      </c>
    </row>
    <row r="16" spans="1:48" s="56" customFormat="1" ht="52.5" customHeight="1" x14ac:dyDescent="0.2">
      <c r="A16" s="32"/>
      <c r="B16" s="236"/>
      <c r="C16" s="182" t="s">
        <v>2272</v>
      </c>
      <c r="D16" s="184" t="s">
        <v>2432</v>
      </c>
      <c r="E16" s="239" t="s">
        <v>2397</v>
      </c>
      <c r="F16" s="110" t="s">
        <v>2453</v>
      </c>
      <c r="G16" s="79" t="s">
        <v>2362</v>
      </c>
      <c r="H16" s="110" t="s">
        <v>2452</v>
      </c>
      <c r="I16" s="104" t="s">
        <v>2269</v>
      </c>
      <c r="J16" s="68" t="s">
        <v>2261</v>
      </c>
      <c r="K16" s="42">
        <f t="shared" ref="K16:K17" si="0">+L16+N16+P16+R16+T16</f>
        <v>12</v>
      </c>
      <c r="L16" s="64">
        <v>0</v>
      </c>
      <c r="M16" s="28">
        <v>0</v>
      </c>
      <c r="N16" s="64">
        <v>1</v>
      </c>
      <c r="O16" s="64">
        <v>0</v>
      </c>
      <c r="P16" s="64">
        <v>5</v>
      </c>
      <c r="Q16" s="70"/>
      <c r="R16" s="70">
        <v>3</v>
      </c>
      <c r="S16" s="70"/>
      <c r="T16" s="70">
        <v>3</v>
      </c>
      <c r="U16" s="70"/>
      <c r="V16" s="81">
        <v>0</v>
      </c>
      <c r="W16" s="62" t="e">
        <f>O16/V16</f>
        <v>#DIV/0!</v>
      </c>
      <c r="X16" s="157">
        <v>0</v>
      </c>
      <c r="Y16" s="158"/>
      <c r="Z16" s="159"/>
      <c r="AA16" s="160">
        <v>0</v>
      </c>
      <c r="AB16" s="161"/>
      <c r="AC16" s="162"/>
      <c r="AD16" s="160">
        <v>0</v>
      </c>
      <c r="AE16" s="161"/>
      <c r="AF16" s="162"/>
      <c r="AG16" s="160">
        <v>0</v>
      </c>
      <c r="AH16" s="161"/>
      <c r="AI16" s="162"/>
      <c r="AJ16" s="91">
        <f>AD16+AG16+AA16+X16</f>
        <v>0</v>
      </c>
      <c r="AK16" s="30">
        <f>X16/N16</f>
        <v>0</v>
      </c>
      <c r="AL16" s="147" t="s">
        <v>2574</v>
      </c>
      <c r="AM16" s="147" t="s">
        <v>2476</v>
      </c>
      <c r="AN16" s="147" t="s">
        <v>2498</v>
      </c>
      <c r="AO16" s="176">
        <v>45588</v>
      </c>
      <c r="AP16" s="176">
        <v>35885</v>
      </c>
      <c r="AQ16" s="173">
        <v>113172</v>
      </c>
      <c r="AR16" s="173">
        <v>16425</v>
      </c>
    </row>
    <row r="17" spans="1:44" s="56" customFormat="1" ht="52.5" customHeight="1" x14ac:dyDescent="0.2">
      <c r="A17" s="32"/>
      <c r="B17" s="236"/>
      <c r="C17" s="183"/>
      <c r="D17" s="184"/>
      <c r="E17" s="239"/>
      <c r="F17" s="110" t="s">
        <v>2361</v>
      </c>
      <c r="G17" s="79" t="s">
        <v>2362</v>
      </c>
      <c r="H17" s="110" t="s">
        <v>2351</v>
      </c>
      <c r="I17" s="104" t="s">
        <v>2269</v>
      </c>
      <c r="J17" s="68" t="s">
        <v>2261</v>
      </c>
      <c r="K17" s="42">
        <f t="shared" si="0"/>
        <v>17</v>
      </c>
      <c r="L17" s="64">
        <v>0</v>
      </c>
      <c r="M17" s="28">
        <f>AD17+AG17</f>
        <v>0</v>
      </c>
      <c r="N17" s="64">
        <v>6</v>
      </c>
      <c r="O17" s="64">
        <v>0</v>
      </c>
      <c r="P17" s="64">
        <v>6</v>
      </c>
      <c r="Q17" s="70"/>
      <c r="R17" s="70">
        <v>4</v>
      </c>
      <c r="S17" s="70"/>
      <c r="T17" s="70">
        <v>1</v>
      </c>
      <c r="U17" s="70"/>
      <c r="V17" s="81">
        <v>0</v>
      </c>
      <c r="W17" s="62" t="e">
        <f>O17/V17</f>
        <v>#DIV/0!</v>
      </c>
      <c r="X17" s="157">
        <v>0</v>
      </c>
      <c r="Y17" s="158"/>
      <c r="Z17" s="159"/>
      <c r="AA17" s="160">
        <v>0</v>
      </c>
      <c r="AB17" s="161"/>
      <c r="AC17" s="162"/>
      <c r="AD17" s="160">
        <v>0</v>
      </c>
      <c r="AE17" s="161"/>
      <c r="AF17" s="162"/>
      <c r="AG17" s="160">
        <v>0</v>
      </c>
      <c r="AH17" s="161"/>
      <c r="AI17" s="162"/>
      <c r="AJ17" s="91">
        <f>AD17+AG17+AA17+X17</f>
        <v>0</v>
      </c>
      <c r="AK17" s="62">
        <f>X17/N17</f>
        <v>0</v>
      </c>
      <c r="AL17" s="149"/>
      <c r="AM17" s="149"/>
      <c r="AN17" s="148"/>
      <c r="AO17" s="176"/>
      <c r="AP17" s="176"/>
      <c r="AQ17" s="173"/>
      <c r="AR17" s="173"/>
    </row>
    <row r="18" spans="1:44" s="56" customFormat="1" ht="138.75" customHeight="1" x14ac:dyDescent="0.2">
      <c r="A18" s="32"/>
      <c r="B18" s="236"/>
      <c r="C18" s="67" t="s">
        <v>2272</v>
      </c>
      <c r="D18" s="104" t="s">
        <v>2432</v>
      </c>
      <c r="E18" s="104" t="s">
        <v>2397</v>
      </c>
      <c r="F18" s="94" t="s">
        <v>2383</v>
      </c>
      <c r="G18" s="110" t="s">
        <v>2382</v>
      </c>
      <c r="H18" s="110" t="s">
        <v>2384</v>
      </c>
      <c r="I18" s="110" t="s">
        <v>2269</v>
      </c>
      <c r="J18" s="68" t="s">
        <v>2261</v>
      </c>
      <c r="K18" s="89">
        <f t="shared" ref="K18" si="1">+L18+N18+P18+R18+T18</f>
        <v>360</v>
      </c>
      <c r="L18" s="70">
        <v>31.28</v>
      </c>
      <c r="M18" s="28">
        <v>14.68</v>
      </c>
      <c r="N18" s="70">
        <v>86.89</v>
      </c>
      <c r="O18" s="70">
        <v>13.52</v>
      </c>
      <c r="P18" s="70">
        <v>35</v>
      </c>
      <c r="Q18" s="70"/>
      <c r="R18" s="70">
        <v>89</v>
      </c>
      <c r="S18" s="70"/>
      <c r="T18" s="70">
        <v>117.83</v>
      </c>
      <c r="U18" s="70"/>
      <c r="V18" s="83">
        <f>M18+O18+S18+Q18+U18</f>
        <v>28.2</v>
      </c>
      <c r="W18" s="62">
        <f>(M18+O18)/343.4</f>
        <v>8.2119976703552713E-2</v>
      </c>
      <c r="X18" s="157">
        <v>0.13</v>
      </c>
      <c r="Y18" s="158"/>
      <c r="Z18" s="159"/>
      <c r="AA18" s="157">
        <v>0.13</v>
      </c>
      <c r="AB18" s="158"/>
      <c r="AC18" s="159"/>
      <c r="AD18" s="163">
        <v>13.52</v>
      </c>
      <c r="AE18" s="164"/>
      <c r="AF18" s="165"/>
      <c r="AG18" s="160">
        <v>0</v>
      </c>
      <c r="AH18" s="161"/>
      <c r="AI18" s="162"/>
      <c r="AJ18" s="87">
        <f>+AD18</f>
        <v>13.52</v>
      </c>
      <c r="AK18" s="62">
        <f>AJ18/N18</f>
        <v>0.15559903326044425</v>
      </c>
      <c r="AL18" s="94" t="s">
        <v>2589</v>
      </c>
      <c r="AM18" s="31" t="s">
        <v>2477</v>
      </c>
      <c r="AN18" s="94" t="s">
        <v>2478</v>
      </c>
      <c r="AO18" s="121">
        <v>29975</v>
      </c>
      <c r="AP18" s="121">
        <v>29973</v>
      </c>
      <c r="AQ18" s="121">
        <v>58203</v>
      </c>
      <c r="AR18" s="121">
        <v>0</v>
      </c>
    </row>
    <row r="19" spans="1:44" s="56" customFormat="1" ht="129.75" customHeight="1" x14ac:dyDescent="0.2">
      <c r="A19" s="32"/>
      <c r="B19" s="236"/>
      <c r="C19" s="108" t="s">
        <v>2271</v>
      </c>
      <c r="D19" s="104" t="s">
        <v>2432</v>
      </c>
      <c r="E19" s="104" t="s">
        <v>2397</v>
      </c>
      <c r="F19" s="105" t="s">
        <v>2363</v>
      </c>
      <c r="G19" s="105" t="s">
        <v>2364</v>
      </c>
      <c r="H19" s="105" t="s">
        <v>2365</v>
      </c>
      <c r="I19" s="105" t="s">
        <v>2235</v>
      </c>
      <c r="J19" s="68" t="s">
        <v>2258</v>
      </c>
      <c r="K19" s="89">
        <v>1</v>
      </c>
      <c r="L19" s="70">
        <v>0</v>
      </c>
      <c r="M19" s="28">
        <v>0</v>
      </c>
      <c r="N19" s="70">
        <v>1</v>
      </c>
      <c r="O19" s="70">
        <v>0.78</v>
      </c>
      <c r="P19" s="70">
        <v>1</v>
      </c>
      <c r="Q19" s="70"/>
      <c r="R19" s="70">
        <v>1</v>
      </c>
      <c r="S19" s="70"/>
      <c r="T19" s="70">
        <v>1</v>
      </c>
      <c r="U19" s="70"/>
      <c r="V19" s="92">
        <f>M19+O19+Q19+S19+U19</f>
        <v>0.78</v>
      </c>
      <c r="W19" s="93">
        <f>V19/4</f>
        <v>0.19500000000000001</v>
      </c>
      <c r="X19" s="157">
        <v>0.06</v>
      </c>
      <c r="Y19" s="158"/>
      <c r="Z19" s="159"/>
      <c r="AA19" s="163">
        <v>0.21</v>
      </c>
      <c r="AB19" s="164"/>
      <c r="AC19" s="165"/>
      <c r="AD19" s="163">
        <v>0.78</v>
      </c>
      <c r="AE19" s="164"/>
      <c r="AF19" s="165"/>
      <c r="AG19" s="160">
        <v>0</v>
      </c>
      <c r="AH19" s="161"/>
      <c r="AI19" s="162"/>
      <c r="AJ19" s="87">
        <f>MAX(X19:AI19)</f>
        <v>0.78</v>
      </c>
      <c r="AK19" s="30">
        <f>AJ19/N19</f>
        <v>0.78</v>
      </c>
      <c r="AL19" s="94" t="s">
        <v>2579</v>
      </c>
      <c r="AM19" s="31" t="s">
        <v>2479</v>
      </c>
      <c r="AN19" s="31" t="s">
        <v>2499</v>
      </c>
      <c r="AO19" s="121">
        <v>121</v>
      </c>
      <c r="AP19" s="121">
        <v>121</v>
      </c>
      <c r="AQ19" s="122">
        <v>273</v>
      </c>
      <c r="AR19" s="122">
        <v>153</v>
      </c>
    </row>
    <row r="20" spans="1:44" s="56" customFormat="1" ht="51" customHeight="1" x14ac:dyDescent="0.2">
      <c r="A20" s="32"/>
      <c r="B20" s="236"/>
      <c r="C20" s="232" t="s">
        <v>2398</v>
      </c>
      <c r="D20" s="209" t="s">
        <v>2432</v>
      </c>
      <c r="E20" s="209" t="s">
        <v>2397</v>
      </c>
      <c r="F20" s="209" t="s">
        <v>2325</v>
      </c>
      <c r="G20" s="45" t="s">
        <v>2324</v>
      </c>
      <c r="H20" s="209" t="s">
        <v>2345</v>
      </c>
      <c r="I20" s="110" t="s">
        <v>2235</v>
      </c>
      <c r="J20" s="68" t="s">
        <v>2261</v>
      </c>
      <c r="K20" s="42">
        <f>+L20+N20+P20+R20+T20</f>
        <v>20</v>
      </c>
      <c r="L20" s="64">
        <v>4.99</v>
      </c>
      <c r="M20" s="28">
        <v>4.99</v>
      </c>
      <c r="N20" s="64">
        <v>2</v>
      </c>
      <c r="O20" s="64">
        <v>0.56000000000000005</v>
      </c>
      <c r="P20" s="64">
        <v>6</v>
      </c>
      <c r="Q20" s="70"/>
      <c r="R20" s="64">
        <v>5</v>
      </c>
      <c r="S20" s="70"/>
      <c r="T20" s="64">
        <v>2.0099999999999998</v>
      </c>
      <c r="U20" s="70"/>
      <c r="V20" s="82">
        <f>M20+O20+S20+Q20+U20</f>
        <v>5.5500000000000007</v>
      </c>
      <c r="W20" s="62">
        <f>(V20/K20)</f>
        <v>0.27750000000000002</v>
      </c>
      <c r="X20" s="157">
        <v>0.04</v>
      </c>
      <c r="Y20" s="158"/>
      <c r="Z20" s="159"/>
      <c r="AA20" s="247">
        <v>0.04</v>
      </c>
      <c r="AB20" s="248"/>
      <c r="AC20" s="249"/>
      <c r="AD20" s="163">
        <v>0.56000000000000005</v>
      </c>
      <c r="AE20" s="164"/>
      <c r="AF20" s="165"/>
      <c r="AG20" s="160">
        <v>0</v>
      </c>
      <c r="AH20" s="161"/>
      <c r="AI20" s="162"/>
      <c r="AJ20" s="113">
        <f t="shared" ref="AJ20:AJ21" si="2">MAX(X20:AI20)</f>
        <v>0.56000000000000005</v>
      </c>
      <c r="AK20" s="62">
        <f>AJ20/N20</f>
        <v>0.28000000000000003</v>
      </c>
      <c r="AL20" s="147" t="s">
        <v>2567</v>
      </c>
      <c r="AM20" s="147" t="s">
        <v>2500</v>
      </c>
      <c r="AN20" s="147" t="s">
        <v>2501</v>
      </c>
      <c r="AO20" s="33">
        <v>321</v>
      </c>
      <c r="AP20" s="33">
        <v>110</v>
      </c>
      <c r="AQ20" s="124">
        <v>769</v>
      </c>
      <c r="AR20" s="124">
        <v>667</v>
      </c>
    </row>
    <row r="21" spans="1:44" s="56" customFormat="1" ht="51" customHeight="1" x14ac:dyDescent="0.2">
      <c r="A21" s="32"/>
      <c r="B21" s="236"/>
      <c r="C21" s="233"/>
      <c r="D21" s="219"/>
      <c r="E21" s="219"/>
      <c r="F21" s="219"/>
      <c r="G21" s="45" t="s">
        <v>2324</v>
      </c>
      <c r="H21" s="219"/>
      <c r="I21" s="110" t="s">
        <v>2269</v>
      </c>
      <c r="J21" s="68" t="s">
        <v>2261</v>
      </c>
      <c r="K21" s="42">
        <f>+L21+N21+P21+R21+T21</f>
        <v>110</v>
      </c>
      <c r="L21" s="64">
        <v>10.96</v>
      </c>
      <c r="M21" s="28">
        <v>0</v>
      </c>
      <c r="N21" s="64">
        <v>39.04</v>
      </c>
      <c r="O21" s="64">
        <v>5.31</v>
      </c>
      <c r="P21" s="64">
        <v>38.85</v>
      </c>
      <c r="Q21" s="70"/>
      <c r="R21" s="64">
        <v>10.81</v>
      </c>
      <c r="S21" s="70"/>
      <c r="T21" s="64">
        <v>10.34</v>
      </c>
      <c r="U21" s="70"/>
      <c r="V21" s="82">
        <f>M21+O21+S21+Q21+U21</f>
        <v>5.31</v>
      </c>
      <c r="W21" s="62">
        <f>(V21/99.04)</f>
        <v>5.3614701130856215E-2</v>
      </c>
      <c r="X21" s="157">
        <v>0.61</v>
      </c>
      <c r="Y21" s="158"/>
      <c r="Z21" s="159"/>
      <c r="AA21" s="247">
        <v>1.03</v>
      </c>
      <c r="AB21" s="248"/>
      <c r="AC21" s="249"/>
      <c r="AD21" s="163">
        <v>5.31</v>
      </c>
      <c r="AE21" s="164"/>
      <c r="AF21" s="165"/>
      <c r="AG21" s="160">
        <v>0</v>
      </c>
      <c r="AH21" s="161"/>
      <c r="AI21" s="162"/>
      <c r="AJ21" s="113">
        <f t="shared" si="2"/>
        <v>5.31</v>
      </c>
      <c r="AK21" s="62">
        <f>AJ21/N21</f>
        <v>0.13601434426229508</v>
      </c>
      <c r="AL21" s="148"/>
      <c r="AM21" s="148"/>
      <c r="AN21" s="148"/>
      <c r="AO21" s="33">
        <v>250</v>
      </c>
      <c r="AP21" s="33">
        <v>250</v>
      </c>
      <c r="AQ21" s="124">
        <v>58286</v>
      </c>
      <c r="AR21" s="124">
        <v>0</v>
      </c>
    </row>
    <row r="22" spans="1:44" s="56" customFormat="1" ht="51" customHeight="1" x14ac:dyDescent="0.2">
      <c r="A22" s="32"/>
      <c r="B22" s="236"/>
      <c r="C22" s="234"/>
      <c r="D22" s="210"/>
      <c r="E22" s="210"/>
      <c r="F22" s="210"/>
      <c r="G22" s="45" t="s">
        <v>2324</v>
      </c>
      <c r="H22" s="210"/>
      <c r="I22" s="110" t="s">
        <v>2270</v>
      </c>
      <c r="J22" s="68" t="s">
        <v>2261</v>
      </c>
      <c r="K22" s="42">
        <f>+L22+N22+P22+R22+T22</f>
        <v>61.730000000000004</v>
      </c>
      <c r="L22" s="64">
        <v>8.73</v>
      </c>
      <c r="M22" s="28">
        <v>8.73</v>
      </c>
      <c r="N22" s="64">
        <v>16.5</v>
      </c>
      <c r="O22" s="64">
        <v>9.68</v>
      </c>
      <c r="P22" s="64">
        <v>28</v>
      </c>
      <c r="Q22" s="70"/>
      <c r="R22" s="64">
        <v>5</v>
      </c>
      <c r="S22" s="70"/>
      <c r="T22" s="64">
        <v>3.5</v>
      </c>
      <c r="U22" s="70"/>
      <c r="V22" s="115">
        <f>(M22+O22+S22+Q22+U22)</f>
        <v>18.41</v>
      </c>
      <c r="W22" s="62">
        <f>(V22/61.73)</f>
        <v>0.29823424590960634</v>
      </c>
      <c r="X22" s="157">
        <v>0.11</v>
      </c>
      <c r="Y22" s="158"/>
      <c r="Z22" s="159"/>
      <c r="AA22" s="250">
        <v>0.61</v>
      </c>
      <c r="AB22" s="251"/>
      <c r="AC22" s="252"/>
      <c r="AD22" s="163">
        <v>9.68</v>
      </c>
      <c r="AE22" s="164"/>
      <c r="AF22" s="165"/>
      <c r="AG22" s="160">
        <v>0</v>
      </c>
      <c r="AH22" s="161"/>
      <c r="AI22" s="162"/>
      <c r="AJ22" s="113">
        <f>MAX(X22:AI22)</f>
        <v>9.68</v>
      </c>
      <c r="AK22" s="62">
        <f>AJ22/N22</f>
        <v>0.58666666666666667</v>
      </c>
      <c r="AL22" s="149"/>
      <c r="AM22" s="149"/>
      <c r="AN22" s="149"/>
      <c r="AO22" s="33">
        <v>323</v>
      </c>
      <c r="AP22" s="33">
        <v>303</v>
      </c>
      <c r="AQ22" s="124">
        <v>12222</v>
      </c>
      <c r="AR22" s="124">
        <v>7424</v>
      </c>
    </row>
    <row r="23" spans="1:44" s="56" customFormat="1" ht="114.75" customHeight="1" x14ac:dyDescent="0.2">
      <c r="A23" s="32"/>
      <c r="B23" s="236"/>
      <c r="C23" s="232" t="s">
        <v>2272</v>
      </c>
      <c r="D23" s="209" t="s">
        <v>2432</v>
      </c>
      <c r="E23" s="104"/>
      <c r="F23" s="209" t="s">
        <v>2326</v>
      </c>
      <c r="G23" s="45" t="s">
        <v>2327</v>
      </c>
      <c r="H23" s="209" t="s">
        <v>2328</v>
      </c>
      <c r="I23" s="110" t="s">
        <v>2269</v>
      </c>
      <c r="J23" s="68" t="s">
        <v>2261</v>
      </c>
      <c r="K23" s="42">
        <v>938</v>
      </c>
      <c r="L23" s="64">
        <v>296.5</v>
      </c>
      <c r="M23" s="28">
        <v>11.95</v>
      </c>
      <c r="N23" s="64">
        <v>476.12</v>
      </c>
      <c r="O23" s="64">
        <v>170.94</v>
      </c>
      <c r="P23" s="64">
        <v>96</v>
      </c>
      <c r="Q23" s="70"/>
      <c r="R23" s="64">
        <v>190.64</v>
      </c>
      <c r="S23" s="70"/>
      <c r="T23" s="64">
        <v>163.29</v>
      </c>
      <c r="U23" s="70"/>
      <c r="V23" s="83">
        <f>M23+O23+S23+Q23+U23</f>
        <v>182.89</v>
      </c>
      <c r="W23" s="62">
        <f>(V23/938)</f>
        <v>0.19497867803837951</v>
      </c>
      <c r="X23" s="157">
        <v>7.15</v>
      </c>
      <c r="Y23" s="158"/>
      <c r="Z23" s="159"/>
      <c r="AA23" s="247">
        <v>80.63</v>
      </c>
      <c r="AB23" s="248"/>
      <c r="AC23" s="249"/>
      <c r="AD23" s="163">
        <v>170.94</v>
      </c>
      <c r="AE23" s="164"/>
      <c r="AF23" s="165"/>
      <c r="AG23" s="160">
        <v>0</v>
      </c>
      <c r="AH23" s="161"/>
      <c r="AI23" s="162"/>
      <c r="AJ23" s="113">
        <f>MAX(X23:AI23)</f>
        <v>170.94</v>
      </c>
      <c r="AK23" s="62">
        <f>(AJ23)/
N23</f>
        <v>0.3590271360161304</v>
      </c>
      <c r="AL23" s="147" t="s">
        <v>2568</v>
      </c>
      <c r="AM23" s="147" t="s">
        <v>2502</v>
      </c>
      <c r="AN23" s="147" t="s">
        <v>2503</v>
      </c>
      <c r="AO23" s="125">
        <v>183178</v>
      </c>
      <c r="AP23" s="126">
        <v>170460</v>
      </c>
      <c r="AQ23" s="127">
        <v>306805</v>
      </c>
      <c r="AR23" s="127">
        <v>59581</v>
      </c>
    </row>
    <row r="24" spans="1:44" s="56" customFormat="1" ht="127.5" customHeight="1" x14ac:dyDescent="0.2">
      <c r="A24" s="32"/>
      <c r="B24" s="236"/>
      <c r="C24" s="234"/>
      <c r="D24" s="210"/>
      <c r="E24" s="105" t="s">
        <v>2397</v>
      </c>
      <c r="F24" s="210"/>
      <c r="G24" s="45" t="s">
        <v>2327</v>
      </c>
      <c r="H24" s="210"/>
      <c r="I24" s="110" t="s">
        <v>2270</v>
      </c>
      <c r="J24" s="68" t="s">
        <v>2261</v>
      </c>
      <c r="K24" s="42">
        <f>+L24+N24+P24+R24+T24</f>
        <v>1370.0000000000002</v>
      </c>
      <c r="L24" s="64">
        <v>229.55</v>
      </c>
      <c r="M24" s="28">
        <v>245.35</v>
      </c>
      <c r="N24" s="64">
        <v>334.05</v>
      </c>
      <c r="O24" s="64">
        <v>224.98</v>
      </c>
      <c r="P24" s="64">
        <v>542.70000000000005</v>
      </c>
      <c r="Q24" s="70"/>
      <c r="R24" s="64">
        <v>230.67</v>
      </c>
      <c r="S24" s="70"/>
      <c r="T24" s="64">
        <v>33.03</v>
      </c>
      <c r="U24" s="70"/>
      <c r="V24" s="83">
        <f>M24+O24+S24+Q24+U24</f>
        <v>470.33</v>
      </c>
      <c r="W24" s="62">
        <f>(V24/1385.8)</f>
        <v>0.33939240871698656</v>
      </c>
      <c r="X24" s="157">
        <v>84.18</v>
      </c>
      <c r="Y24" s="158"/>
      <c r="Z24" s="159"/>
      <c r="AA24" s="247">
        <v>144.81</v>
      </c>
      <c r="AB24" s="248"/>
      <c r="AC24" s="249"/>
      <c r="AD24" s="163">
        <v>224.98</v>
      </c>
      <c r="AE24" s="164"/>
      <c r="AF24" s="165"/>
      <c r="AG24" s="160">
        <v>0</v>
      </c>
      <c r="AH24" s="161"/>
      <c r="AI24" s="162"/>
      <c r="AJ24" s="113">
        <f>MAX(X24:AI24)</f>
        <v>224.98</v>
      </c>
      <c r="AK24" s="62">
        <f>(AJ24)/N24</f>
        <v>0.67349199221673395</v>
      </c>
      <c r="AL24" s="149"/>
      <c r="AM24" s="149"/>
      <c r="AN24" s="149"/>
      <c r="AO24" s="125">
        <v>45604</v>
      </c>
      <c r="AP24" s="126">
        <v>39814</v>
      </c>
      <c r="AQ24" s="127">
        <v>109070</v>
      </c>
      <c r="AR24" s="127">
        <v>81461</v>
      </c>
    </row>
    <row r="25" spans="1:44" s="56" customFormat="1" ht="48.75" customHeight="1" x14ac:dyDescent="0.2">
      <c r="A25" s="32"/>
      <c r="B25" s="236"/>
      <c r="C25" s="109" t="s">
        <v>2272</v>
      </c>
      <c r="D25" s="105" t="s">
        <v>2432</v>
      </c>
      <c r="E25" s="105" t="s">
        <v>2397</v>
      </c>
      <c r="F25" s="105" t="s">
        <v>2380</v>
      </c>
      <c r="G25" s="110" t="s">
        <v>2379</v>
      </c>
      <c r="H25" s="105" t="s">
        <v>2381</v>
      </c>
      <c r="I25" s="110" t="s">
        <v>2235</v>
      </c>
      <c r="J25" s="68" t="s">
        <v>2258</v>
      </c>
      <c r="K25" s="69">
        <v>50</v>
      </c>
      <c r="L25" s="70">
        <v>50</v>
      </c>
      <c r="M25" s="28">
        <v>43.85</v>
      </c>
      <c r="N25" s="70">
        <v>50</v>
      </c>
      <c r="O25" s="70">
        <v>44.3</v>
      </c>
      <c r="P25" s="70">
        <v>50</v>
      </c>
      <c r="Q25" s="70"/>
      <c r="R25" s="70">
        <v>50</v>
      </c>
      <c r="S25" s="70"/>
      <c r="T25" s="70">
        <v>50</v>
      </c>
      <c r="U25" s="70"/>
      <c r="V25" s="70">
        <f>O25</f>
        <v>44.3</v>
      </c>
      <c r="W25" s="62">
        <f>50/V25</f>
        <v>1.1286681715575622</v>
      </c>
      <c r="X25" s="253">
        <f>O25</f>
        <v>44.3</v>
      </c>
      <c r="Y25" s="158"/>
      <c r="Z25" s="159"/>
      <c r="AA25" s="157">
        <v>43.65</v>
      </c>
      <c r="AB25" s="158"/>
      <c r="AC25" s="159"/>
      <c r="AD25" s="166">
        <v>44.3</v>
      </c>
      <c r="AE25" s="167"/>
      <c r="AF25" s="168"/>
      <c r="AG25" s="154">
        <v>0</v>
      </c>
      <c r="AH25" s="155"/>
      <c r="AI25" s="156"/>
      <c r="AJ25" s="113">
        <v>44.3</v>
      </c>
      <c r="AK25" s="62">
        <f>50/AD25</f>
        <v>1.1286681715575622</v>
      </c>
      <c r="AL25" s="94" t="s">
        <v>2513</v>
      </c>
      <c r="AM25" s="31" t="s">
        <v>2480</v>
      </c>
      <c r="AN25" s="31" t="s">
        <v>2520</v>
      </c>
      <c r="AO25" s="33">
        <v>89038</v>
      </c>
      <c r="AP25" s="33">
        <v>88330</v>
      </c>
      <c r="AQ25" s="33">
        <v>205061</v>
      </c>
      <c r="AR25" s="33">
        <v>110778</v>
      </c>
    </row>
    <row r="26" spans="1:44" s="56" customFormat="1" ht="148.5" customHeight="1" x14ac:dyDescent="0.2">
      <c r="A26" s="32"/>
      <c r="B26" s="236"/>
      <c r="C26" s="67" t="s">
        <v>2273</v>
      </c>
      <c r="D26" s="110" t="s">
        <v>2432</v>
      </c>
      <c r="E26" s="110" t="s">
        <v>2397</v>
      </c>
      <c r="F26" s="110" t="s">
        <v>2353</v>
      </c>
      <c r="G26" s="110" t="s">
        <v>2347</v>
      </c>
      <c r="H26" s="110" t="s">
        <v>2377</v>
      </c>
      <c r="I26" s="110" t="s">
        <v>2235</v>
      </c>
      <c r="J26" s="68" t="s">
        <v>2260</v>
      </c>
      <c r="K26" s="69">
        <v>404</v>
      </c>
      <c r="L26" s="64">
        <v>473</v>
      </c>
      <c r="M26" s="28">
        <v>371</v>
      </c>
      <c r="N26" s="64">
        <v>449</v>
      </c>
      <c r="O26" s="64">
        <v>371</v>
      </c>
      <c r="P26" s="64">
        <v>425</v>
      </c>
      <c r="Q26" s="70"/>
      <c r="R26" s="70">
        <v>405</v>
      </c>
      <c r="S26" s="70"/>
      <c r="T26" s="70">
        <v>404</v>
      </c>
      <c r="U26" s="70"/>
      <c r="V26" s="70">
        <v>404</v>
      </c>
      <c r="W26" s="62">
        <f>404/371</f>
        <v>1.0889487870619947</v>
      </c>
      <c r="X26" s="157">
        <v>371</v>
      </c>
      <c r="Y26" s="158"/>
      <c r="Z26" s="159"/>
      <c r="AA26" s="157">
        <v>371</v>
      </c>
      <c r="AB26" s="158"/>
      <c r="AC26" s="159"/>
      <c r="AD26" s="154">
        <v>371</v>
      </c>
      <c r="AE26" s="155"/>
      <c r="AF26" s="156"/>
      <c r="AG26" s="154">
        <v>0</v>
      </c>
      <c r="AH26" s="155"/>
      <c r="AI26" s="156"/>
      <c r="AJ26" s="59">
        <f>MAX(X26:AI26)</f>
        <v>371</v>
      </c>
      <c r="AK26" s="62">
        <f>+N26/AJ26</f>
        <v>1.2102425876010781</v>
      </c>
      <c r="AL26" s="31" t="s">
        <v>2559</v>
      </c>
      <c r="AM26" s="31" t="s">
        <v>2485</v>
      </c>
      <c r="AN26" s="147" t="s">
        <v>2504</v>
      </c>
      <c r="AO26" s="151">
        <v>19877</v>
      </c>
      <c r="AP26" s="151">
        <v>15454</v>
      </c>
      <c r="AQ26" s="146">
        <v>66209</v>
      </c>
      <c r="AR26" s="146">
        <v>57933</v>
      </c>
    </row>
    <row r="27" spans="1:44" s="56" customFormat="1" ht="148.5" customHeight="1" x14ac:dyDescent="0.2">
      <c r="A27" s="32"/>
      <c r="B27" s="236"/>
      <c r="C27" s="67" t="s">
        <v>2273</v>
      </c>
      <c r="D27" s="110" t="s">
        <v>2432</v>
      </c>
      <c r="E27" s="110" t="s">
        <v>2397</v>
      </c>
      <c r="F27" s="110" t="s">
        <v>2561</v>
      </c>
      <c r="G27" s="110" t="s">
        <v>2347</v>
      </c>
      <c r="H27" s="110" t="s">
        <v>2534</v>
      </c>
      <c r="I27" s="110" t="s">
        <v>2235</v>
      </c>
      <c r="J27" s="68" t="s">
        <v>2260</v>
      </c>
      <c r="K27" s="69">
        <v>146</v>
      </c>
      <c r="L27" s="64">
        <v>172</v>
      </c>
      <c r="M27" s="28">
        <v>150</v>
      </c>
      <c r="N27" s="64">
        <v>163</v>
      </c>
      <c r="O27" s="64">
        <v>150</v>
      </c>
      <c r="P27" s="64">
        <v>154</v>
      </c>
      <c r="Q27" s="70"/>
      <c r="R27" s="70">
        <v>147</v>
      </c>
      <c r="S27" s="70"/>
      <c r="T27" s="70">
        <v>146</v>
      </c>
      <c r="U27" s="70"/>
      <c r="V27" s="71">
        <f>O27</f>
        <v>150</v>
      </c>
      <c r="W27" s="62">
        <f>T27/O27</f>
        <v>0.97333333333333338</v>
      </c>
      <c r="X27" s="157">
        <v>150</v>
      </c>
      <c r="Y27" s="158"/>
      <c r="Z27" s="159"/>
      <c r="AA27" s="157">
        <v>150</v>
      </c>
      <c r="AB27" s="158"/>
      <c r="AC27" s="159"/>
      <c r="AD27" s="157">
        <v>150</v>
      </c>
      <c r="AE27" s="158"/>
      <c r="AF27" s="159"/>
      <c r="AG27" s="157">
        <v>0</v>
      </c>
      <c r="AH27" s="158"/>
      <c r="AI27" s="159"/>
      <c r="AJ27" s="72">
        <f>AA27</f>
        <v>150</v>
      </c>
      <c r="AK27" s="73">
        <f>N27/O27</f>
        <v>1.0866666666666667</v>
      </c>
      <c r="AL27" s="31" t="s">
        <v>2560</v>
      </c>
      <c r="AM27" s="31" t="s">
        <v>2485</v>
      </c>
      <c r="AN27" s="149"/>
      <c r="AO27" s="152"/>
      <c r="AP27" s="152"/>
      <c r="AQ27" s="146"/>
      <c r="AR27" s="146"/>
    </row>
    <row r="28" spans="1:44" s="56" customFormat="1" ht="107.25" customHeight="1" x14ac:dyDescent="0.2">
      <c r="A28" s="32"/>
      <c r="B28" s="236"/>
      <c r="C28" s="67" t="s">
        <v>2273</v>
      </c>
      <c r="D28" s="110" t="s">
        <v>2432</v>
      </c>
      <c r="E28" s="110" t="s">
        <v>2397</v>
      </c>
      <c r="F28" s="110" t="s">
        <v>2376</v>
      </c>
      <c r="G28" s="110" t="s">
        <v>2375</v>
      </c>
      <c r="H28" s="110" t="s">
        <v>2378</v>
      </c>
      <c r="I28" s="110" t="s">
        <v>2235</v>
      </c>
      <c r="J28" s="68" t="s">
        <v>2258</v>
      </c>
      <c r="K28" s="89">
        <v>1</v>
      </c>
      <c r="L28" s="70">
        <v>1</v>
      </c>
      <c r="M28" s="28">
        <v>1</v>
      </c>
      <c r="N28" s="70">
        <v>1</v>
      </c>
      <c r="O28" s="70">
        <v>1</v>
      </c>
      <c r="P28" s="70">
        <v>1</v>
      </c>
      <c r="Q28" s="70"/>
      <c r="R28" s="70">
        <v>1</v>
      </c>
      <c r="S28" s="70"/>
      <c r="T28" s="70">
        <v>1</v>
      </c>
      <c r="U28" s="70"/>
      <c r="V28" s="81">
        <v>1</v>
      </c>
      <c r="W28" s="30">
        <f>(M28+O28)/5</f>
        <v>0.4</v>
      </c>
      <c r="X28" s="157">
        <v>1</v>
      </c>
      <c r="Y28" s="158"/>
      <c r="Z28" s="159"/>
      <c r="AA28" s="157">
        <v>1</v>
      </c>
      <c r="AB28" s="158"/>
      <c r="AC28" s="159"/>
      <c r="AD28" s="154">
        <v>1</v>
      </c>
      <c r="AE28" s="155"/>
      <c r="AF28" s="156"/>
      <c r="AG28" s="154"/>
      <c r="AH28" s="155"/>
      <c r="AI28" s="156"/>
      <c r="AJ28" s="49">
        <f>+AA28</f>
        <v>1</v>
      </c>
      <c r="AK28" s="30">
        <f>X28/L28</f>
        <v>1</v>
      </c>
      <c r="AL28" s="31" t="s">
        <v>2588</v>
      </c>
      <c r="AM28" s="31" t="s">
        <v>2514</v>
      </c>
      <c r="AN28" s="31" t="s">
        <v>2521</v>
      </c>
      <c r="AO28" s="33">
        <v>823</v>
      </c>
      <c r="AP28" s="33">
        <v>823</v>
      </c>
      <c r="AQ28" s="33">
        <v>2248</v>
      </c>
      <c r="AR28" s="33">
        <v>1378</v>
      </c>
    </row>
    <row r="29" spans="1:44" s="56" customFormat="1" ht="45.75" customHeight="1" x14ac:dyDescent="0.2">
      <c r="A29" s="32"/>
      <c r="B29" s="236"/>
      <c r="C29" s="232" t="s">
        <v>2271</v>
      </c>
      <c r="D29" s="209" t="s">
        <v>2432</v>
      </c>
      <c r="E29" s="209" t="s">
        <v>2397</v>
      </c>
      <c r="F29" s="209" t="s">
        <v>2355</v>
      </c>
      <c r="G29" s="45" t="s">
        <v>2354</v>
      </c>
      <c r="H29" s="209" t="s">
        <v>2356</v>
      </c>
      <c r="I29" s="110" t="s">
        <v>2270</v>
      </c>
      <c r="J29" s="68" t="s">
        <v>2261</v>
      </c>
      <c r="K29" s="42">
        <f>+L29+N29+P29+R29+T29</f>
        <v>0.25</v>
      </c>
      <c r="L29" s="64">
        <v>0.01</v>
      </c>
      <c r="M29" s="28">
        <v>0.01</v>
      </c>
      <c r="N29" s="64">
        <v>0.04</v>
      </c>
      <c r="O29" s="64">
        <v>0.03</v>
      </c>
      <c r="P29" s="64">
        <v>0.08</v>
      </c>
      <c r="Q29" s="70"/>
      <c r="R29" s="70">
        <v>0.09</v>
      </c>
      <c r="S29" s="70"/>
      <c r="T29" s="70">
        <v>0.03</v>
      </c>
      <c r="U29" s="70"/>
      <c r="V29" s="83">
        <f>M29+O29+S29+Q29+U29</f>
        <v>0.04</v>
      </c>
      <c r="W29" s="62">
        <f>(V29/K29)</f>
        <v>0.16</v>
      </c>
      <c r="X29" s="157">
        <v>0</v>
      </c>
      <c r="Y29" s="158"/>
      <c r="Z29" s="159"/>
      <c r="AA29" s="157">
        <v>0.01</v>
      </c>
      <c r="AB29" s="158"/>
      <c r="AC29" s="159"/>
      <c r="AD29" s="166">
        <v>0.03</v>
      </c>
      <c r="AE29" s="167"/>
      <c r="AF29" s="168"/>
      <c r="AG29" s="166">
        <v>0</v>
      </c>
      <c r="AH29" s="167"/>
      <c r="AI29" s="168"/>
      <c r="AJ29" s="113">
        <f>MAX(X29:AI29)</f>
        <v>0.03</v>
      </c>
      <c r="AK29" s="30">
        <f>+AJ29/0.04</f>
        <v>0.75</v>
      </c>
      <c r="AL29" s="98"/>
      <c r="AM29" s="147" t="s">
        <v>2476</v>
      </c>
      <c r="AN29" s="116" t="s">
        <v>2578</v>
      </c>
      <c r="AO29" s="33">
        <v>19</v>
      </c>
      <c r="AP29" s="128">
        <v>19</v>
      </c>
      <c r="AQ29" s="124">
        <v>49</v>
      </c>
      <c r="AR29" s="124">
        <v>19</v>
      </c>
    </row>
    <row r="30" spans="1:44" s="56" customFormat="1" ht="45.75" customHeight="1" x14ac:dyDescent="0.2">
      <c r="A30" s="32"/>
      <c r="B30" s="236"/>
      <c r="C30" s="233"/>
      <c r="D30" s="219"/>
      <c r="E30" s="219"/>
      <c r="F30" s="219"/>
      <c r="G30" s="45" t="s">
        <v>2354</v>
      </c>
      <c r="H30" s="219"/>
      <c r="I30" s="110" t="s">
        <v>2235</v>
      </c>
      <c r="J30" s="68" t="s">
        <v>2261</v>
      </c>
      <c r="K30" s="42">
        <f>+L30+N30+P30+R30+T30</f>
        <v>0.25</v>
      </c>
      <c r="L30" s="64">
        <v>0.05</v>
      </c>
      <c r="M30" s="28">
        <v>0.05</v>
      </c>
      <c r="N30" s="64">
        <v>0.05</v>
      </c>
      <c r="O30" s="64">
        <v>0.04</v>
      </c>
      <c r="P30" s="64">
        <v>0.05</v>
      </c>
      <c r="Q30" s="70"/>
      <c r="R30" s="70">
        <v>0.05</v>
      </c>
      <c r="S30" s="70"/>
      <c r="T30" s="70">
        <v>0.05</v>
      </c>
      <c r="U30" s="70"/>
      <c r="V30" s="83">
        <f t="shared" ref="V30:V33" si="3">M30+O30+S30+Q30+U30</f>
        <v>0.09</v>
      </c>
      <c r="W30" s="62">
        <f t="shared" ref="W30:W33" si="4">(V30/K30)</f>
        <v>0.36</v>
      </c>
      <c r="X30" s="157">
        <v>0.01</v>
      </c>
      <c r="Y30" s="158"/>
      <c r="Z30" s="159"/>
      <c r="AA30" s="157">
        <v>0.03</v>
      </c>
      <c r="AB30" s="158"/>
      <c r="AC30" s="159"/>
      <c r="AD30" s="166">
        <v>0.04</v>
      </c>
      <c r="AE30" s="167"/>
      <c r="AF30" s="168"/>
      <c r="AG30" s="166">
        <v>0</v>
      </c>
      <c r="AH30" s="167"/>
      <c r="AI30" s="168"/>
      <c r="AJ30" s="113">
        <f>MAX(X30:AI30)</f>
        <v>0.04</v>
      </c>
      <c r="AK30" s="30">
        <f>AJ30/N30</f>
        <v>0.79999999999999993</v>
      </c>
      <c r="AL30" s="99"/>
      <c r="AM30" s="148"/>
      <c r="AN30" s="120" t="s">
        <v>2577</v>
      </c>
      <c r="AO30" s="33">
        <v>3002</v>
      </c>
      <c r="AP30" s="128">
        <v>3002</v>
      </c>
      <c r="AQ30" s="124">
        <v>6657</v>
      </c>
      <c r="AR30" s="124">
        <v>5189</v>
      </c>
    </row>
    <row r="31" spans="1:44" s="56" customFormat="1" ht="45.75" customHeight="1" x14ac:dyDescent="0.2">
      <c r="A31" s="32"/>
      <c r="B31" s="236"/>
      <c r="C31" s="233"/>
      <c r="D31" s="219"/>
      <c r="E31" s="219"/>
      <c r="F31" s="219"/>
      <c r="G31" s="45" t="s">
        <v>2354</v>
      </c>
      <c r="H31" s="219"/>
      <c r="I31" s="110" t="s">
        <v>2392</v>
      </c>
      <c r="J31" s="68" t="s">
        <v>2261</v>
      </c>
      <c r="K31" s="42">
        <f>+L31+N31+P31+R31+T31</f>
        <v>0.25</v>
      </c>
      <c r="L31" s="64">
        <v>0</v>
      </c>
      <c r="M31" s="28">
        <f>AD31+AG31</f>
        <v>0</v>
      </c>
      <c r="N31" s="64">
        <v>0.01</v>
      </c>
      <c r="O31" s="64">
        <v>0</v>
      </c>
      <c r="P31" s="64">
        <v>0.08</v>
      </c>
      <c r="Q31" s="70"/>
      <c r="R31" s="70">
        <v>0.1</v>
      </c>
      <c r="S31" s="70"/>
      <c r="T31" s="70">
        <v>0.06</v>
      </c>
      <c r="U31" s="70"/>
      <c r="V31" s="83">
        <f t="shared" si="3"/>
        <v>0</v>
      </c>
      <c r="W31" s="62">
        <f t="shared" si="4"/>
        <v>0</v>
      </c>
      <c r="X31" s="157">
        <v>0</v>
      </c>
      <c r="Y31" s="158"/>
      <c r="Z31" s="159"/>
      <c r="AA31" s="157">
        <v>0</v>
      </c>
      <c r="AB31" s="158"/>
      <c r="AC31" s="159"/>
      <c r="AD31" s="154">
        <v>0</v>
      </c>
      <c r="AE31" s="155"/>
      <c r="AF31" s="156"/>
      <c r="AG31" s="154">
        <v>0</v>
      </c>
      <c r="AH31" s="155"/>
      <c r="AI31" s="156"/>
      <c r="AJ31" s="59">
        <f>X31+AD31+AA31+AG31</f>
        <v>0</v>
      </c>
      <c r="AK31" s="30">
        <f>AJ31/N31</f>
        <v>0</v>
      </c>
      <c r="AL31" s="99"/>
      <c r="AM31" s="148"/>
      <c r="AN31" s="120" t="s">
        <v>2576</v>
      </c>
      <c r="AO31" s="33">
        <v>0</v>
      </c>
      <c r="AP31" s="33">
        <v>0</v>
      </c>
      <c r="AQ31" s="124">
        <v>216</v>
      </c>
      <c r="AR31" s="124">
        <v>0</v>
      </c>
    </row>
    <row r="32" spans="1:44" s="56" customFormat="1" ht="45.75" customHeight="1" x14ac:dyDescent="0.2">
      <c r="A32" s="32"/>
      <c r="B32" s="236"/>
      <c r="C32" s="233"/>
      <c r="D32" s="219"/>
      <c r="E32" s="219"/>
      <c r="F32" s="219"/>
      <c r="G32" s="45" t="s">
        <v>2354</v>
      </c>
      <c r="H32" s="219"/>
      <c r="I32" s="110" t="s">
        <v>2269</v>
      </c>
      <c r="J32" s="68" t="s">
        <v>2261</v>
      </c>
      <c r="K32" s="42">
        <f>+L32+N32+P32+R32+T32</f>
        <v>0.25</v>
      </c>
      <c r="L32" s="64">
        <v>0.05</v>
      </c>
      <c r="M32" s="28">
        <v>0</v>
      </c>
      <c r="N32" s="64">
        <v>0</v>
      </c>
      <c r="O32" s="64">
        <v>0</v>
      </c>
      <c r="P32" s="64">
        <v>0.05</v>
      </c>
      <c r="Q32" s="70"/>
      <c r="R32" s="70">
        <v>0.05</v>
      </c>
      <c r="S32" s="70"/>
      <c r="T32" s="70">
        <v>0.1</v>
      </c>
      <c r="U32" s="70"/>
      <c r="V32" s="83">
        <f t="shared" si="3"/>
        <v>0</v>
      </c>
      <c r="W32" s="62">
        <f t="shared" si="4"/>
        <v>0</v>
      </c>
      <c r="X32" s="154">
        <v>0</v>
      </c>
      <c r="Y32" s="155"/>
      <c r="Z32" s="156"/>
      <c r="AA32" s="154">
        <v>0</v>
      </c>
      <c r="AB32" s="155"/>
      <c r="AC32" s="156"/>
      <c r="AD32" s="154">
        <v>0</v>
      </c>
      <c r="AE32" s="155"/>
      <c r="AF32" s="156"/>
      <c r="AG32" s="154">
        <v>0</v>
      </c>
      <c r="AH32" s="155"/>
      <c r="AI32" s="156"/>
      <c r="AJ32" s="49">
        <f>AD32+AG32</f>
        <v>0</v>
      </c>
      <c r="AK32" s="30">
        <f>X32/L32</f>
        <v>0</v>
      </c>
      <c r="AL32" s="99"/>
      <c r="AM32" s="148"/>
      <c r="AO32" s="33">
        <v>0</v>
      </c>
      <c r="AP32" s="33">
        <v>0</v>
      </c>
      <c r="AQ32" s="124">
        <v>0</v>
      </c>
      <c r="AR32" s="124">
        <v>0</v>
      </c>
    </row>
    <row r="33" spans="1:45" s="56" customFormat="1" ht="71.25" customHeight="1" x14ac:dyDescent="0.2">
      <c r="A33" s="32"/>
      <c r="B33" s="236"/>
      <c r="C33" s="234"/>
      <c r="D33" s="210"/>
      <c r="E33" s="210"/>
      <c r="F33" s="210"/>
      <c r="G33" s="45" t="s">
        <v>2354</v>
      </c>
      <c r="H33" s="210"/>
      <c r="I33" s="110" t="s">
        <v>2391</v>
      </c>
      <c r="J33" s="68" t="s">
        <v>2261</v>
      </c>
      <c r="K33" s="42">
        <f>+L33+N33+P33+R33+T33</f>
        <v>1</v>
      </c>
      <c r="L33" s="64">
        <v>0.05</v>
      </c>
      <c r="M33" s="28">
        <v>0.05</v>
      </c>
      <c r="N33" s="64">
        <v>0.3</v>
      </c>
      <c r="O33" s="64">
        <v>0.22</v>
      </c>
      <c r="P33" s="64">
        <v>0.3</v>
      </c>
      <c r="Q33" s="70"/>
      <c r="R33" s="70">
        <v>0.3</v>
      </c>
      <c r="S33" s="70"/>
      <c r="T33" s="70">
        <v>0.05</v>
      </c>
      <c r="U33" s="70"/>
      <c r="V33" s="83">
        <f t="shared" si="3"/>
        <v>0.27</v>
      </c>
      <c r="W33" s="62">
        <f t="shared" si="4"/>
        <v>0.27</v>
      </c>
      <c r="X33" s="157">
        <v>0.08</v>
      </c>
      <c r="Y33" s="158"/>
      <c r="Z33" s="159"/>
      <c r="AA33" s="157">
        <v>0.15</v>
      </c>
      <c r="AB33" s="158"/>
      <c r="AC33" s="159"/>
      <c r="AD33" s="166">
        <v>0.22</v>
      </c>
      <c r="AE33" s="167"/>
      <c r="AF33" s="168"/>
      <c r="AG33" s="166">
        <v>0</v>
      </c>
      <c r="AH33" s="167"/>
      <c r="AI33" s="168"/>
      <c r="AJ33" s="113">
        <f>MAX(X33:AI33)</f>
        <v>0.22</v>
      </c>
      <c r="AK33" s="62">
        <f>+AJ33/N33</f>
        <v>0.73333333333333339</v>
      </c>
      <c r="AL33" s="100"/>
      <c r="AM33" s="149"/>
      <c r="AN33" s="120" t="s">
        <v>2575</v>
      </c>
      <c r="AO33" s="33">
        <v>10346</v>
      </c>
      <c r="AP33" s="33">
        <v>10345</v>
      </c>
      <c r="AQ33" s="124">
        <v>26639</v>
      </c>
      <c r="AR33" s="124">
        <v>22706</v>
      </c>
    </row>
    <row r="34" spans="1:45" s="56" customFormat="1" ht="107.25" customHeight="1" x14ac:dyDescent="0.2">
      <c r="A34" s="32"/>
      <c r="B34" s="236"/>
      <c r="C34" s="67" t="s">
        <v>2399</v>
      </c>
      <c r="D34" s="110" t="s">
        <v>2432</v>
      </c>
      <c r="E34" s="110" t="s">
        <v>2397</v>
      </c>
      <c r="F34" s="110" t="s">
        <v>2367</v>
      </c>
      <c r="G34" s="110" t="s">
        <v>2366</v>
      </c>
      <c r="H34" s="110" t="s">
        <v>2368</v>
      </c>
      <c r="I34" s="110" t="s">
        <v>2235</v>
      </c>
      <c r="J34" s="68" t="s">
        <v>2258</v>
      </c>
      <c r="K34" s="69">
        <v>1</v>
      </c>
      <c r="L34" s="70">
        <v>0</v>
      </c>
      <c r="M34" s="28">
        <v>0</v>
      </c>
      <c r="N34" s="70">
        <v>1</v>
      </c>
      <c r="O34" s="70">
        <v>0.88</v>
      </c>
      <c r="P34" s="70">
        <v>1</v>
      </c>
      <c r="Q34" s="70"/>
      <c r="R34" s="70">
        <v>1</v>
      </c>
      <c r="S34" s="70"/>
      <c r="T34" s="70">
        <v>1</v>
      </c>
      <c r="U34" s="70"/>
      <c r="V34" s="70">
        <f>M34+O34+Q34+S34+U34</f>
        <v>0.88</v>
      </c>
      <c r="W34" s="62">
        <f>V34/4</f>
        <v>0.22</v>
      </c>
      <c r="X34" s="157">
        <v>0.35</v>
      </c>
      <c r="Y34" s="158"/>
      <c r="Z34" s="159"/>
      <c r="AA34" s="157">
        <v>0.77</v>
      </c>
      <c r="AB34" s="158"/>
      <c r="AC34" s="159"/>
      <c r="AD34" s="166">
        <v>0.88</v>
      </c>
      <c r="AE34" s="167"/>
      <c r="AF34" s="168"/>
      <c r="AG34" s="154">
        <v>0</v>
      </c>
      <c r="AH34" s="155"/>
      <c r="AI34" s="156"/>
      <c r="AJ34" s="113">
        <v>0.88</v>
      </c>
      <c r="AK34" s="62">
        <f>+AJ34/N34</f>
        <v>0.88</v>
      </c>
      <c r="AL34" s="31" t="s">
        <v>2580</v>
      </c>
      <c r="AM34" s="31" t="s">
        <v>2581</v>
      </c>
      <c r="AN34" s="31" t="s">
        <v>2522</v>
      </c>
      <c r="AO34" s="33">
        <v>0</v>
      </c>
      <c r="AP34" s="33">
        <v>0</v>
      </c>
      <c r="AQ34" s="33">
        <v>547</v>
      </c>
      <c r="AR34" s="33">
        <v>317</v>
      </c>
    </row>
    <row r="35" spans="1:45" s="56" customFormat="1" ht="187.5" customHeight="1" x14ac:dyDescent="0.2">
      <c r="A35" s="32"/>
      <c r="B35" s="236"/>
      <c r="C35" s="67" t="s">
        <v>2271</v>
      </c>
      <c r="D35" s="110" t="s">
        <v>2432</v>
      </c>
      <c r="E35" s="110" t="s">
        <v>2397</v>
      </c>
      <c r="F35" s="110" t="s">
        <v>2370</v>
      </c>
      <c r="G35" s="110" t="s">
        <v>2369</v>
      </c>
      <c r="H35" s="110" t="s">
        <v>2371</v>
      </c>
      <c r="I35" s="110" t="s">
        <v>2236</v>
      </c>
      <c r="J35" s="68" t="s">
        <v>2260</v>
      </c>
      <c r="K35" s="69">
        <v>21.21</v>
      </c>
      <c r="L35" s="28">
        <v>23.56</v>
      </c>
      <c r="M35" s="28">
        <v>23.56</v>
      </c>
      <c r="N35" s="70">
        <v>23.55</v>
      </c>
      <c r="O35" s="70">
        <v>23.55</v>
      </c>
      <c r="P35" s="70">
        <v>23.54</v>
      </c>
      <c r="Q35" s="70"/>
      <c r="R35" s="70">
        <v>23.53</v>
      </c>
      <c r="S35" s="70">
        <v>0</v>
      </c>
      <c r="T35" s="70">
        <v>21.21</v>
      </c>
      <c r="U35" s="70"/>
      <c r="V35" s="70">
        <f>O35</f>
        <v>23.55</v>
      </c>
      <c r="W35" s="62">
        <f>K35/O35</f>
        <v>0.90063694267515926</v>
      </c>
      <c r="X35" s="157">
        <v>23.56</v>
      </c>
      <c r="Y35" s="158"/>
      <c r="Z35" s="159"/>
      <c r="AA35" s="157">
        <v>23.55</v>
      </c>
      <c r="AB35" s="158"/>
      <c r="AC35" s="159"/>
      <c r="AD35" s="166">
        <v>23.55</v>
      </c>
      <c r="AE35" s="167"/>
      <c r="AF35" s="168"/>
      <c r="AG35" s="166">
        <v>0</v>
      </c>
      <c r="AH35" s="167"/>
      <c r="AI35" s="168"/>
      <c r="AJ35" s="113">
        <f>+AA35</f>
        <v>23.55</v>
      </c>
      <c r="AK35" s="62">
        <f>+AJ35/N35</f>
        <v>1</v>
      </c>
      <c r="AL35" s="31" t="s">
        <v>2582</v>
      </c>
      <c r="AM35" s="31" t="s">
        <v>2583</v>
      </c>
      <c r="AN35" s="31" t="s">
        <v>2461</v>
      </c>
      <c r="AO35" s="33">
        <v>1437</v>
      </c>
      <c r="AP35" s="128">
        <v>1321</v>
      </c>
      <c r="AQ35" s="33">
        <v>2758</v>
      </c>
      <c r="AR35" s="33">
        <v>2581</v>
      </c>
    </row>
    <row r="36" spans="1:45" s="56" customFormat="1" ht="82.5" customHeight="1" x14ac:dyDescent="0.2">
      <c r="A36" s="32"/>
      <c r="B36" s="236"/>
      <c r="C36" s="182" t="s">
        <v>2271</v>
      </c>
      <c r="D36" s="182" t="s">
        <v>2432</v>
      </c>
      <c r="E36" s="209" t="s">
        <v>2397</v>
      </c>
      <c r="F36" s="45" t="s">
        <v>2448</v>
      </c>
      <c r="G36" s="45" t="s">
        <v>2323</v>
      </c>
      <c r="H36" s="110" t="s">
        <v>2449</v>
      </c>
      <c r="I36" s="110" t="s">
        <v>2235</v>
      </c>
      <c r="J36" s="68" t="s">
        <v>2261</v>
      </c>
      <c r="K36" s="75">
        <v>100</v>
      </c>
      <c r="L36" s="28">
        <v>5</v>
      </c>
      <c r="M36" s="28">
        <v>5</v>
      </c>
      <c r="N36" s="64">
        <v>30</v>
      </c>
      <c r="O36" s="64">
        <v>25.2</v>
      </c>
      <c r="P36" s="64">
        <v>30</v>
      </c>
      <c r="Q36" s="70"/>
      <c r="R36" s="70">
        <v>30</v>
      </c>
      <c r="S36" s="70"/>
      <c r="T36" s="70">
        <v>5</v>
      </c>
      <c r="U36" s="70"/>
      <c r="V36" s="70">
        <f>M36+O36</f>
        <v>30.2</v>
      </c>
      <c r="W36" s="114">
        <f>+V36/K36</f>
        <v>0.30199999999999999</v>
      </c>
      <c r="X36" s="157">
        <v>15.75</v>
      </c>
      <c r="Y36" s="158"/>
      <c r="Z36" s="159"/>
      <c r="AA36" s="157">
        <v>20.399999999999999</v>
      </c>
      <c r="AB36" s="158"/>
      <c r="AC36" s="159"/>
      <c r="AD36" s="166">
        <v>25.2</v>
      </c>
      <c r="AE36" s="167"/>
      <c r="AF36" s="168"/>
      <c r="AG36" s="166">
        <v>0</v>
      </c>
      <c r="AH36" s="167"/>
      <c r="AI36" s="168"/>
      <c r="AJ36" s="113">
        <f>MAX(X36:AI36)</f>
        <v>25.2</v>
      </c>
      <c r="AK36" s="62">
        <f>AJ36/N36</f>
        <v>0.84</v>
      </c>
      <c r="AL36" s="98" t="s">
        <v>2564</v>
      </c>
      <c r="AM36" s="147" t="s">
        <v>2505</v>
      </c>
      <c r="AN36" s="147" t="s">
        <v>2506</v>
      </c>
      <c r="AO36" s="33">
        <v>282</v>
      </c>
      <c r="AP36" s="33">
        <v>282</v>
      </c>
      <c r="AQ36" s="124">
        <v>1248</v>
      </c>
      <c r="AR36" s="124">
        <v>1181</v>
      </c>
    </row>
    <row r="37" spans="1:45" s="56" customFormat="1" ht="82.5" customHeight="1" x14ac:dyDescent="0.2">
      <c r="A37" s="32"/>
      <c r="B37" s="236"/>
      <c r="C37" s="183"/>
      <c r="D37" s="183"/>
      <c r="E37" s="210"/>
      <c r="F37" s="45" t="s">
        <v>2322</v>
      </c>
      <c r="G37" s="45" t="s">
        <v>2323</v>
      </c>
      <c r="H37" s="110" t="s">
        <v>2357</v>
      </c>
      <c r="I37" s="110" t="s">
        <v>2236</v>
      </c>
      <c r="J37" s="68" t="s">
        <v>2259</v>
      </c>
      <c r="K37" s="75">
        <v>82.5</v>
      </c>
      <c r="L37" s="64">
        <v>79</v>
      </c>
      <c r="M37" s="28">
        <v>78.959999999999994</v>
      </c>
      <c r="N37" s="64">
        <v>79.3</v>
      </c>
      <c r="O37" s="64">
        <v>86.63</v>
      </c>
      <c r="P37" s="64">
        <v>79.5</v>
      </c>
      <c r="Q37" s="70"/>
      <c r="R37" s="70">
        <v>80.5</v>
      </c>
      <c r="S37" s="70"/>
      <c r="T37" s="70">
        <v>82.5</v>
      </c>
      <c r="U37" s="70"/>
      <c r="V37" s="70">
        <v>82.5</v>
      </c>
      <c r="W37" s="62">
        <f>(O37)/V37</f>
        <v>1.0500606060606059</v>
      </c>
      <c r="X37" s="157">
        <v>79.03</v>
      </c>
      <c r="Y37" s="158"/>
      <c r="Z37" s="159"/>
      <c r="AA37" s="157">
        <v>88.89</v>
      </c>
      <c r="AB37" s="158"/>
      <c r="AC37" s="159"/>
      <c r="AD37" s="166">
        <v>86.63</v>
      </c>
      <c r="AE37" s="167"/>
      <c r="AF37" s="168"/>
      <c r="AG37" s="166">
        <v>0</v>
      </c>
      <c r="AH37" s="167"/>
      <c r="AI37" s="168"/>
      <c r="AJ37" s="113">
        <v>86.63</v>
      </c>
      <c r="AK37" s="62">
        <f>AJ37/N37</f>
        <v>1.0924337957124841</v>
      </c>
      <c r="AL37" s="100" t="s">
        <v>2565</v>
      </c>
      <c r="AM37" s="149"/>
      <c r="AN37" s="149"/>
      <c r="AO37" s="33">
        <v>8998</v>
      </c>
      <c r="AP37" s="33">
        <v>8336</v>
      </c>
      <c r="AQ37" s="124">
        <v>15335</v>
      </c>
      <c r="AR37" s="124">
        <v>12098</v>
      </c>
    </row>
    <row r="38" spans="1:45" s="56" customFormat="1" ht="107.25" customHeight="1" x14ac:dyDescent="0.2">
      <c r="A38" s="32"/>
      <c r="B38" s="236"/>
      <c r="C38" s="67" t="s">
        <v>2271</v>
      </c>
      <c r="D38" s="110" t="s">
        <v>2432</v>
      </c>
      <c r="E38" s="110" t="s">
        <v>2397</v>
      </c>
      <c r="F38" s="110" t="s">
        <v>2389</v>
      </c>
      <c r="G38" s="110" t="s">
        <v>2388</v>
      </c>
      <c r="H38" s="110" t="s">
        <v>2390</v>
      </c>
      <c r="I38" s="110" t="s">
        <v>2236</v>
      </c>
      <c r="J38" s="68" t="s">
        <v>2260</v>
      </c>
      <c r="K38" s="75">
        <v>2</v>
      </c>
      <c r="L38" s="64">
        <v>15.35</v>
      </c>
      <c r="M38" s="28">
        <v>15.36</v>
      </c>
      <c r="N38" s="64">
        <v>15.34</v>
      </c>
      <c r="O38" s="28">
        <v>15.36</v>
      </c>
      <c r="P38" s="64">
        <v>15.33</v>
      </c>
      <c r="Q38" s="64"/>
      <c r="R38" s="64">
        <v>15.32</v>
      </c>
      <c r="S38" s="64"/>
      <c r="T38" s="64">
        <v>13.36</v>
      </c>
      <c r="U38" s="64"/>
      <c r="V38" s="64">
        <f>O38</f>
        <v>15.36</v>
      </c>
      <c r="W38" s="62">
        <f>13.36/M38</f>
        <v>0.86979166666666663</v>
      </c>
      <c r="X38" s="166">
        <v>15.36</v>
      </c>
      <c r="Y38" s="167"/>
      <c r="Z38" s="168"/>
      <c r="AA38" s="166">
        <v>15.36</v>
      </c>
      <c r="AB38" s="167"/>
      <c r="AC38" s="168"/>
      <c r="AD38" s="166">
        <v>15.36</v>
      </c>
      <c r="AE38" s="167"/>
      <c r="AF38" s="168"/>
      <c r="AG38" s="166">
        <v>0</v>
      </c>
      <c r="AH38" s="167"/>
      <c r="AI38" s="168"/>
      <c r="AJ38" s="113">
        <f>+AA38</f>
        <v>15.36</v>
      </c>
      <c r="AK38" s="62">
        <f>+N38/AJ38</f>
        <v>0.99869791666666674</v>
      </c>
      <c r="AL38" s="31" t="s">
        <v>2604</v>
      </c>
      <c r="AM38" s="31" t="s">
        <v>2605</v>
      </c>
      <c r="AN38" s="31" t="s">
        <v>2523</v>
      </c>
      <c r="AO38" s="33">
        <v>9219</v>
      </c>
      <c r="AP38" s="33">
        <v>9219</v>
      </c>
      <c r="AQ38" s="33">
        <v>14049</v>
      </c>
      <c r="AR38" s="33">
        <v>11192</v>
      </c>
    </row>
    <row r="39" spans="1:45" s="56" customFormat="1" ht="90" customHeight="1" x14ac:dyDescent="0.2">
      <c r="A39" s="32"/>
      <c r="B39" s="236"/>
      <c r="C39" s="182" t="s">
        <v>2271</v>
      </c>
      <c r="D39" s="182" t="s">
        <v>2432</v>
      </c>
      <c r="E39" s="209" t="s">
        <v>2397</v>
      </c>
      <c r="F39" s="32" t="s">
        <v>2446</v>
      </c>
      <c r="G39" s="45" t="s">
        <v>2319</v>
      </c>
      <c r="H39" s="110" t="s">
        <v>2447</v>
      </c>
      <c r="I39" s="110" t="s">
        <v>2235</v>
      </c>
      <c r="J39" s="68" t="s">
        <v>2261</v>
      </c>
      <c r="K39" s="75">
        <v>100</v>
      </c>
      <c r="L39" s="64">
        <v>5</v>
      </c>
      <c r="M39" s="28">
        <v>5</v>
      </c>
      <c r="N39" s="64">
        <v>30</v>
      </c>
      <c r="O39" s="64">
        <v>14.25</v>
      </c>
      <c r="P39" s="64">
        <v>30</v>
      </c>
      <c r="Q39" s="64"/>
      <c r="R39" s="64">
        <v>30</v>
      </c>
      <c r="S39" s="64"/>
      <c r="T39" s="64">
        <v>5</v>
      </c>
      <c r="U39" s="64"/>
      <c r="V39" s="64">
        <f>+M39+O39</f>
        <v>19.25</v>
      </c>
      <c r="W39" s="62">
        <f>+V39/K39</f>
        <v>0.1925</v>
      </c>
      <c r="X39" s="256">
        <v>1.35</v>
      </c>
      <c r="Y39" s="257"/>
      <c r="Z39" s="258"/>
      <c r="AA39" s="166">
        <v>1.95</v>
      </c>
      <c r="AB39" s="167"/>
      <c r="AC39" s="168"/>
      <c r="AD39" s="154">
        <v>14.25</v>
      </c>
      <c r="AE39" s="155"/>
      <c r="AF39" s="156"/>
      <c r="AG39" s="166">
        <v>0</v>
      </c>
      <c r="AH39" s="167"/>
      <c r="AI39" s="168"/>
      <c r="AJ39" s="76">
        <f>MAX(X39:AI39)</f>
        <v>14.25</v>
      </c>
      <c r="AK39" s="62">
        <f>+AJ39/N39</f>
        <v>0.47499999999999998</v>
      </c>
      <c r="AL39" s="56" t="s">
        <v>2563</v>
      </c>
      <c r="AM39" s="147" t="s">
        <v>2500</v>
      </c>
      <c r="AN39" s="147" t="s">
        <v>2507</v>
      </c>
      <c r="AO39" s="33">
        <v>68</v>
      </c>
      <c r="AP39" s="33">
        <v>68</v>
      </c>
      <c r="AQ39" s="124">
        <v>3828</v>
      </c>
      <c r="AR39" s="124">
        <v>3587</v>
      </c>
    </row>
    <row r="40" spans="1:45" s="56" customFormat="1" ht="90" customHeight="1" x14ac:dyDescent="0.2">
      <c r="A40" s="32"/>
      <c r="B40" s="236"/>
      <c r="C40" s="183"/>
      <c r="D40" s="183"/>
      <c r="E40" s="210"/>
      <c r="F40" s="45" t="s">
        <v>2321</v>
      </c>
      <c r="G40" s="45" t="s">
        <v>2319</v>
      </c>
      <c r="H40" s="110" t="s">
        <v>2320</v>
      </c>
      <c r="I40" s="110" t="s">
        <v>2236</v>
      </c>
      <c r="J40" s="68" t="s">
        <v>2259</v>
      </c>
      <c r="K40" s="75">
        <v>166954</v>
      </c>
      <c r="L40" s="64">
        <v>66781</v>
      </c>
      <c r="M40" s="77">
        <v>45078</v>
      </c>
      <c r="N40" s="64">
        <v>158606</v>
      </c>
      <c r="O40" s="64">
        <v>126093</v>
      </c>
      <c r="P40" s="64">
        <v>158606</v>
      </c>
      <c r="Q40" s="64"/>
      <c r="R40" s="64">
        <v>166954</v>
      </c>
      <c r="S40" s="64"/>
      <c r="T40" s="64">
        <v>166954</v>
      </c>
      <c r="U40" s="64"/>
      <c r="V40" s="64">
        <f>+O40</f>
        <v>126093</v>
      </c>
      <c r="W40" s="62">
        <f>+V40/K40</f>
        <v>0.75525593876157504</v>
      </c>
      <c r="X40" s="256">
        <v>73046</v>
      </c>
      <c r="Y40" s="257"/>
      <c r="Z40" s="258"/>
      <c r="AA40" s="166">
        <v>82835</v>
      </c>
      <c r="AB40" s="167"/>
      <c r="AC40" s="168"/>
      <c r="AD40" s="154">
        <v>126093</v>
      </c>
      <c r="AE40" s="155"/>
      <c r="AF40" s="156"/>
      <c r="AG40" s="166">
        <v>0</v>
      </c>
      <c r="AH40" s="167"/>
      <c r="AI40" s="168"/>
      <c r="AJ40" s="78">
        <f>MAX(X40:AI40)</f>
        <v>126093</v>
      </c>
      <c r="AK40" s="62">
        <f>+AJ40/N40</f>
        <v>0.79500775506601262</v>
      </c>
      <c r="AL40" s="98" t="s">
        <v>2562</v>
      </c>
      <c r="AM40" s="149"/>
      <c r="AN40" s="149"/>
      <c r="AO40" s="33">
        <v>1030671</v>
      </c>
      <c r="AP40" s="33">
        <v>1026879</v>
      </c>
      <c r="AQ40" s="124">
        <v>2923374</v>
      </c>
      <c r="AR40" s="124">
        <v>2145207</v>
      </c>
    </row>
    <row r="41" spans="1:45" s="56" customFormat="1" ht="90" customHeight="1" x14ac:dyDescent="0.2">
      <c r="A41" s="32"/>
      <c r="B41" s="236"/>
      <c r="C41" s="182" t="s">
        <v>2272</v>
      </c>
      <c r="D41" s="182" t="s">
        <v>2432</v>
      </c>
      <c r="E41" s="209" t="s">
        <v>2397</v>
      </c>
      <c r="F41" s="79" t="s">
        <v>2450</v>
      </c>
      <c r="G41" s="79" t="s">
        <v>2349</v>
      </c>
      <c r="H41" s="104" t="s">
        <v>2451</v>
      </c>
      <c r="I41" s="104" t="s">
        <v>2269</v>
      </c>
      <c r="J41" s="26" t="s">
        <v>2259</v>
      </c>
      <c r="K41" s="42">
        <f>+T41</f>
        <v>60</v>
      </c>
      <c r="L41" s="64">
        <v>0</v>
      </c>
      <c r="M41" s="28">
        <v>0</v>
      </c>
      <c r="N41" s="64">
        <v>0</v>
      </c>
      <c r="O41" s="64">
        <v>0</v>
      </c>
      <c r="P41" s="64">
        <v>30</v>
      </c>
      <c r="Q41" s="64"/>
      <c r="R41" s="64">
        <v>50</v>
      </c>
      <c r="S41" s="64"/>
      <c r="T41" s="64">
        <v>60</v>
      </c>
      <c r="U41" s="64"/>
      <c r="V41" s="80">
        <v>0</v>
      </c>
      <c r="W41" s="30">
        <v>0</v>
      </c>
      <c r="X41" s="256">
        <v>0</v>
      </c>
      <c r="Y41" s="257"/>
      <c r="Z41" s="258"/>
      <c r="AA41" s="166">
        <v>0</v>
      </c>
      <c r="AB41" s="167"/>
      <c r="AC41" s="168"/>
      <c r="AD41" s="154">
        <v>0</v>
      </c>
      <c r="AE41" s="155"/>
      <c r="AF41" s="156"/>
      <c r="AG41" s="166">
        <v>0</v>
      </c>
      <c r="AH41" s="167"/>
      <c r="AI41" s="168"/>
      <c r="AJ41" s="49">
        <v>0</v>
      </c>
      <c r="AK41" s="30">
        <v>0</v>
      </c>
      <c r="AL41" s="147" t="s">
        <v>2566</v>
      </c>
      <c r="AM41" s="147" t="s">
        <v>2474</v>
      </c>
      <c r="AN41" s="254" t="s">
        <v>2508</v>
      </c>
      <c r="AO41" s="151">
        <v>9295</v>
      </c>
      <c r="AP41" s="151">
        <v>8898</v>
      </c>
      <c r="AQ41" s="146">
        <v>31108</v>
      </c>
      <c r="AR41" s="146">
        <v>3066</v>
      </c>
      <c r="AS41" s="74"/>
    </row>
    <row r="42" spans="1:45" s="56" customFormat="1" ht="67.5" customHeight="1" x14ac:dyDescent="0.2">
      <c r="A42" s="32"/>
      <c r="B42" s="236"/>
      <c r="C42" s="240"/>
      <c r="D42" s="240"/>
      <c r="E42" s="219"/>
      <c r="F42" s="110" t="s">
        <v>2348</v>
      </c>
      <c r="G42" s="79" t="s">
        <v>2349</v>
      </c>
      <c r="H42" s="110" t="s">
        <v>2350</v>
      </c>
      <c r="I42" s="110" t="s">
        <v>2420</v>
      </c>
      <c r="J42" s="68" t="s">
        <v>2261</v>
      </c>
      <c r="K42" s="42">
        <f>+L42+N42+P42+R42+T42</f>
        <v>2</v>
      </c>
      <c r="L42" s="64">
        <v>0</v>
      </c>
      <c r="M42" s="28">
        <f t="shared" ref="M42" si="5">AD42+AG42</f>
        <v>0</v>
      </c>
      <c r="N42" s="64">
        <v>2</v>
      </c>
      <c r="O42" s="64">
        <v>0</v>
      </c>
      <c r="P42" s="64">
        <v>0</v>
      </c>
      <c r="Q42" s="64"/>
      <c r="R42" s="64">
        <v>0</v>
      </c>
      <c r="S42" s="64"/>
      <c r="T42" s="64">
        <v>0</v>
      </c>
      <c r="U42" s="64"/>
      <c r="V42" s="81">
        <v>0</v>
      </c>
      <c r="W42" s="30" t="e">
        <f t="shared" ref="W42:W62" si="6">M42/V42</f>
        <v>#DIV/0!</v>
      </c>
      <c r="X42" s="256">
        <v>0</v>
      </c>
      <c r="Y42" s="257"/>
      <c r="Z42" s="258"/>
      <c r="AA42" s="166">
        <v>0</v>
      </c>
      <c r="AB42" s="167"/>
      <c r="AC42" s="168"/>
      <c r="AD42" s="154">
        <v>0</v>
      </c>
      <c r="AE42" s="155"/>
      <c r="AF42" s="156"/>
      <c r="AG42" s="166">
        <v>0</v>
      </c>
      <c r="AH42" s="167"/>
      <c r="AI42" s="168"/>
      <c r="AJ42" s="49">
        <f t="shared" ref="AJ42" si="7">AD42+AG42</f>
        <v>0</v>
      </c>
      <c r="AK42" s="30">
        <v>0</v>
      </c>
      <c r="AL42" s="149"/>
      <c r="AM42" s="149"/>
      <c r="AN42" s="255"/>
      <c r="AO42" s="152"/>
      <c r="AP42" s="152"/>
      <c r="AQ42" s="146"/>
      <c r="AR42" s="146"/>
    </row>
    <row r="43" spans="1:45" s="36" customFormat="1" ht="84.75" customHeight="1" x14ac:dyDescent="0.2">
      <c r="A43" s="84"/>
      <c r="B43" s="236"/>
      <c r="C43" s="109" t="s">
        <v>2415</v>
      </c>
      <c r="D43" s="105" t="s">
        <v>2432</v>
      </c>
      <c r="E43" s="105" t="s">
        <v>2416</v>
      </c>
      <c r="F43" s="105" t="s">
        <v>2419</v>
      </c>
      <c r="G43" s="105" t="s">
        <v>2417</v>
      </c>
      <c r="H43" s="105" t="s">
        <v>2418</v>
      </c>
      <c r="I43" s="105" t="s">
        <v>2235</v>
      </c>
      <c r="J43" s="85" t="s">
        <v>2261</v>
      </c>
      <c r="K43" s="42">
        <f>+L43+N43+P43+R43+T43</f>
        <v>364000</v>
      </c>
      <c r="L43" s="64">
        <v>2900</v>
      </c>
      <c r="M43" s="28">
        <v>2935</v>
      </c>
      <c r="N43" s="64">
        <v>61650</v>
      </c>
      <c r="O43" s="64">
        <v>44025</v>
      </c>
      <c r="P43" s="64">
        <v>112450</v>
      </c>
      <c r="Q43" s="64"/>
      <c r="R43" s="64">
        <v>118300</v>
      </c>
      <c r="S43" s="64"/>
      <c r="T43" s="64">
        <v>68700</v>
      </c>
      <c r="U43" s="64"/>
      <c r="V43" s="64">
        <f>+M43+O43</f>
        <v>46960</v>
      </c>
      <c r="W43" s="62">
        <f t="shared" ref="W43:W61" si="8">+V43/K43</f>
        <v>0.12901098901098901</v>
      </c>
      <c r="X43" s="256">
        <v>9332</v>
      </c>
      <c r="Y43" s="257"/>
      <c r="Z43" s="258"/>
      <c r="AA43" s="166">
        <v>12874</v>
      </c>
      <c r="AB43" s="167"/>
      <c r="AC43" s="168"/>
      <c r="AD43" s="154">
        <v>44025</v>
      </c>
      <c r="AE43" s="155"/>
      <c r="AF43" s="156"/>
      <c r="AG43" s="166">
        <v>0</v>
      </c>
      <c r="AH43" s="167"/>
      <c r="AI43" s="168"/>
      <c r="AJ43" s="113">
        <f>MAX(X43:AI43)</f>
        <v>44025</v>
      </c>
      <c r="AK43" s="62">
        <f>+AJ43/N43</f>
        <v>0.71411192214111918</v>
      </c>
      <c r="AL43" s="31" t="s">
        <v>2569</v>
      </c>
      <c r="AM43" s="31" t="s">
        <v>2570</v>
      </c>
      <c r="AN43" s="31" t="s">
        <v>2509</v>
      </c>
      <c r="AO43" s="33">
        <v>631</v>
      </c>
      <c r="AP43" s="33">
        <v>298</v>
      </c>
      <c r="AQ43" s="124">
        <v>11062</v>
      </c>
      <c r="AR43" s="124">
        <v>5749</v>
      </c>
      <c r="AS43" s="74"/>
    </row>
    <row r="44" spans="1:45" s="11" customFormat="1" ht="100.5" customHeight="1" x14ac:dyDescent="0.2">
      <c r="A44" s="9"/>
      <c r="B44" s="236"/>
      <c r="C44" s="232" t="s">
        <v>2399</v>
      </c>
      <c r="D44" s="209" t="s">
        <v>2432</v>
      </c>
      <c r="E44" s="209" t="s">
        <v>2397</v>
      </c>
      <c r="F44" s="45" t="s">
        <v>2340</v>
      </c>
      <c r="G44" s="45" t="s">
        <v>2341</v>
      </c>
      <c r="H44" s="110" t="s">
        <v>2342</v>
      </c>
      <c r="I44" s="110" t="s">
        <v>2269</v>
      </c>
      <c r="J44" s="68" t="s">
        <v>2261</v>
      </c>
      <c r="K44" s="42">
        <f>+L44+N44+P44+R44+T44</f>
        <v>20</v>
      </c>
      <c r="L44" s="64">
        <v>0</v>
      </c>
      <c r="M44" s="28">
        <f t="shared" ref="M44:M62" si="9">AD44+AG44</f>
        <v>0</v>
      </c>
      <c r="N44" s="64">
        <v>0.01</v>
      </c>
      <c r="O44" s="64">
        <v>0</v>
      </c>
      <c r="P44" s="64">
        <v>2.99</v>
      </c>
      <c r="Q44" s="64"/>
      <c r="R44" s="64">
        <v>10</v>
      </c>
      <c r="S44" s="64"/>
      <c r="T44" s="64">
        <v>7</v>
      </c>
      <c r="U44" s="64"/>
      <c r="V44" s="64">
        <f>+M44+O44</f>
        <v>0</v>
      </c>
      <c r="W44" s="62">
        <f t="shared" si="8"/>
        <v>0</v>
      </c>
      <c r="X44" s="256">
        <v>0</v>
      </c>
      <c r="Y44" s="257"/>
      <c r="Z44" s="258"/>
      <c r="AA44" s="166">
        <v>0</v>
      </c>
      <c r="AB44" s="167"/>
      <c r="AC44" s="168"/>
      <c r="AD44" s="154">
        <v>0</v>
      </c>
      <c r="AE44" s="155"/>
      <c r="AF44" s="156"/>
      <c r="AG44" s="166">
        <v>0</v>
      </c>
      <c r="AH44" s="167"/>
      <c r="AI44" s="168"/>
      <c r="AJ44" s="49">
        <f t="shared" ref="AJ44:AJ66" si="10">AD44+AG44</f>
        <v>0</v>
      </c>
      <c r="AK44" s="30">
        <v>0</v>
      </c>
      <c r="AL44" s="100" t="s">
        <v>2602</v>
      </c>
      <c r="AM44" s="147" t="s">
        <v>2481</v>
      </c>
      <c r="AN44" s="147" t="s">
        <v>2524</v>
      </c>
      <c r="AO44" s="33">
        <v>0</v>
      </c>
      <c r="AP44" s="33">
        <v>0</v>
      </c>
      <c r="AQ44" s="33">
        <v>0</v>
      </c>
      <c r="AR44" s="33">
        <v>0</v>
      </c>
    </row>
    <row r="45" spans="1:45" s="11" customFormat="1" ht="107.25" customHeight="1" x14ac:dyDescent="0.2">
      <c r="A45" s="9"/>
      <c r="B45" s="236"/>
      <c r="C45" s="234"/>
      <c r="D45" s="210"/>
      <c r="E45" s="210"/>
      <c r="F45" s="47" t="s">
        <v>2459</v>
      </c>
      <c r="G45" s="45" t="s">
        <v>2341</v>
      </c>
      <c r="H45" s="110" t="s">
        <v>2422</v>
      </c>
      <c r="I45" s="110" t="s">
        <v>2421</v>
      </c>
      <c r="J45" s="68" t="s">
        <v>2258</v>
      </c>
      <c r="K45" s="75">
        <v>100</v>
      </c>
      <c r="L45" s="64">
        <v>100</v>
      </c>
      <c r="M45" s="28">
        <v>100</v>
      </c>
      <c r="N45" s="64">
        <v>100</v>
      </c>
      <c r="O45" s="64">
        <v>75</v>
      </c>
      <c r="P45" s="64">
        <v>100</v>
      </c>
      <c r="Q45" s="64"/>
      <c r="R45" s="64">
        <v>100</v>
      </c>
      <c r="S45" s="64"/>
      <c r="T45" s="64">
        <v>100</v>
      </c>
      <c r="U45" s="64"/>
      <c r="V45" s="82">
        <f>+AVERAGE(M45,O45,0,0,0)</f>
        <v>35</v>
      </c>
      <c r="W45" s="30">
        <f t="shared" si="8"/>
        <v>0.35</v>
      </c>
      <c r="X45" s="256">
        <v>25</v>
      </c>
      <c r="Y45" s="257"/>
      <c r="Z45" s="258"/>
      <c r="AA45" s="166">
        <v>50</v>
      </c>
      <c r="AB45" s="167"/>
      <c r="AC45" s="168"/>
      <c r="AD45" s="154">
        <v>75</v>
      </c>
      <c r="AE45" s="155"/>
      <c r="AF45" s="156"/>
      <c r="AG45" s="166">
        <v>0</v>
      </c>
      <c r="AH45" s="167"/>
      <c r="AI45" s="168"/>
      <c r="AJ45" s="113">
        <f>+AA45+X45</f>
        <v>75</v>
      </c>
      <c r="AK45" s="62">
        <f t="shared" ref="AK45:AK61" si="11">+AJ45/N45</f>
        <v>0.75</v>
      </c>
      <c r="AL45" s="11" t="s">
        <v>2603</v>
      </c>
      <c r="AM45" s="149"/>
      <c r="AN45" s="149"/>
      <c r="AO45" s="33">
        <v>398</v>
      </c>
      <c r="AP45" s="33">
        <v>299</v>
      </c>
      <c r="AQ45" s="33">
        <v>94220</v>
      </c>
      <c r="AR45" s="33">
        <v>15216</v>
      </c>
    </row>
    <row r="46" spans="1:45" s="56" customFormat="1" ht="51" customHeight="1" x14ac:dyDescent="0.2">
      <c r="A46" s="32"/>
      <c r="B46" s="237"/>
      <c r="C46" s="232" t="s">
        <v>2272</v>
      </c>
      <c r="D46" s="209" t="s">
        <v>2432</v>
      </c>
      <c r="E46" s="209" t="s">
        <v>2397</v>
      </c>
      <c r="F46" s="79" t="s">
        <v>2336</v>
      </c>
      <c r="G46" s="45" t="s">
        <v>2337</v>
      </c>
      <c r="H46" s="110" t="s">
        <v>2338</v>
      </c>
      <c r="I46" s="110" t="s">
        <v>2420</v>
      </c>
      <c r="J46" s="68" t="s">
        <v>2261</v>
      </c>
      <c r="K46" s="42">
        <f>+L46+N46+P46+R46+T46</f>
        <v>29.599999999999998</v>
      </c>
      <c r="L46" s="64">
        <v>1</v>
      </c>
      <c r="M46" s="28">
        <f t="shared" si="9"/>
        <v>0</v>
      </c>
      <c r="N46" s="64">
        <v>0.01</v>
      </c>
      <c r="O46" s="64">
        <v>0</v>
      </c>
      <c r="P46" s="64">
        <v>11</v>
      </c>
      <c r="Q46" s="64"/>
      <c r="R46" s="64">
        <v>10</v>
      </c>
      <c r="S46" s="64"/>
      <c r="T46" s="64">
        <v>7.59</v>
      </c>
      <c r="U46" s="64"/>
      <c r="V46" s="64">
        <f>+O46+M46</f>
        <v>0</v>
      </c>
      <c r="W46" s="30">
        <f t="shared" si="8"/>
        <v>0</v>
      </c>
      <c r="X46" s="256">
        <v>0</v>
      </c>
      <c r="Y46" s="257"/>
      <c r="Z46" s="258"/>
      <c r="AA46" s="166">
        <v>0</v>
      </c>
      <c r="AB46" s="167"/>
      <c r="AC46" s="168"/>
      <c r="AD46" s="154">
        <v>0</v>
      </c>
      <c r="AE46" s="155"/>
      <c r="AF46" s="156"/>
      <c r="AG46" s="166">
        <v>0</v>
      </c>
      <c r="AH46" s="167"/>
      <c r="AI46" s="168"/>
      <c r="AJ46" s="113">
        <f t="shared" ref="AJ46:AJ62" si="12">+X46</f>
        <v>0</v>
      </c>
      <c r="AK46" s="30">
        <f t="shared" si="11"/>
        <v>0</v>
      </c>
      <c r="AL46" s="147" t="s">
        <v>2601</v>
      </c>
      <c r="AM46" s="147" t="s">
        <v>2481</v>
      </c>
      <c r="AN46" s="147" t="s">
        <v>2525</v>
      </c>
      <c r="AO46" s="151">
        <v>47585</v>
      </c>
      <c r="AP46" s="151">
        <v>8400</v>
      </c>
      <c r="AQ46" s="150">
        <v>79256</v>
      </c>
      <c r="AR46" s="150">
        <v>42277</v>
      </c>
    </row>
    <row r="47" spans="1:45" s="56" customFormat="1" ht="75" customHeight="1" x14ac:dyDescent="0.2">
      <c r="A47" s="32"/>
      <c r="B47" s="236"/>
      <c r="C47" s="233"/>
      <c r="D47" s="219"/>
      <c r="E47" s="219"/>
      <c r="F47" s="79" t="s">
        <v>2515</v>
      </c>
      <c r="G47" s="45" t="s">
        <v>2337</v>
      </c>
      <c r="H47" s="110" t="s">
        <v>2516</v>
      </c>
      <c r="I47" s="110" t="s">
        <v>2420</v>
      </c>
      <c r="J47" s="68" t="s">
        <v>2261</v>
      </c>
      <c r="K47" s="42">
        <f>+L47+N47+P47+R47+T47</f>
        <v>80</v>
      </c>
      <c r="L47" s="64">
        <v>0</v>
      </c>
      <c r="M47" s="28">
        <v>0</v>
      </c>
      <c r="N47" s="64">
        <v>3</v>
      </c>
      <c r="O47" s="64">
        <v>0</v>
      </c>
      <c r="P47" s="64">
        <v>16</v>
      </c>
      <c r="Q47" s="64"/>
      <c r="R47" s="64">
        <v>31</v>
      </c>
      <c r="S47" s="64"/>
      <c r="T47" s="64">
        <v>30</v>
      </c>
      <c r="U47" s="64"/>
      <c r="V47" s="64">
        <f t="shared" ref="V47:V49" si="13">+O47+M47</f>
        <v>0</v>
      </c>
      <c r="W47" s="30">
        <f t="shared" si="8"/>
        <v>0</v>
      </c>
      <c r="X47" s="256">
        <v>0</v>
      </c>
      <c r="Y47" s="257"/>
      <c r="Z47" s="258"/>
      <c r="AA47" s="166">
        <v>0</v>
      </c>
      <c r="AB47" s="167"/>
      <c r="AC47" s="168"/>
      <c r="AD47" s="154">
        <v>0</v>
      </c>
      <c r="AE47" s="155"/>
      <c r="AF47" s="156"/>
      <c r="AG47" s="101"/>
      <c r="AH47" s="102"/>
      <c r="AI47" s="103"/>
      <c r="AJ47" s="113">
        <f t="shared" si="12"/>
        <v>0</v>
      </c>
      <c r="AK47" s="30">
        <f t="shared" si="11"/>
        <v>0</v>
      </c>
      <c r="AL47" s="148"/>
      <c r="AM47" s="148"/>
      <c r="AN47" s="148"/>
      <c r="AO47" s="153"/>
      <c r="AP47" s="153"/>
      <c r="AQ47" s="150"/>
      <c r="AR47" s="150"/>
    </row>
    <row r="48" spans="1:45" s="56" customFormat="1" ht="75" customHeight="1" x14ac:dyDescent="0.2">
      <c r="A48" s="32"/>
      <c r="B48" s="236"/>
      <c r="C48" s="233"/>
      <c r="D48" s="219"/>
      <c r="E48" s="219"/>
      <c r="F48" s="79" t="s">
        <v>2517</v>
      </c>
      <c r="G48" s="45" t="s">
        <v>2337</v>
      </c>
      <c r="H48" s="110" t="s">
        <v>2516</v>
      </c>
      <c r="I48" s="110" t="s">
        <v>2420</v>
      </c>
      <c r="J48" s="68" t="s">
        <v>2261</v>
      </c>
      <c r="K48" s="42">
        <f>+L48+N48+P48+R48+T48</f>
        <v>100</v>
      </c>
      <c r="L48" s="64">
        <v>0</v>
      </c>
      <c r="M48" s="28">
        <v>0</v>
      </c>
      <c r="N48" s="64">
        <v>42</v>
      </c>
      <c r="O48" s="64">
        <v>0</v>
      </c>
      <c r="P48" s="64">
        <v>42</v>
      </c>
      <c r="Q48" s="64"/>
      <c r="R48" s="64">
        <v>16</v>
      </c>
      <c r="S48" s="64"/>
      <c r="T48" s="64">
        <v>0</v>
      </c>
      <c r="U48" s="64"/>
      <c r="V48" s="64">
        <f t="shared" si="13"/>
        <v>0</v>
      </c>
      <c r="W48" s="30">
        <f t="shared" si="8"/>
        <v>0</v>
      </c>
      <c r="X48" s="256">
        <v>0</v>
      </c>
      <c r="Y48" s="257"/>
      <c r="Z48" s="258"/>
      <c r="AA48" s="166">
        <v>0</v>
      </c>
      <c r="AB48" s="167"/>
      <c r="AC48" s="168"/>
      <c r="AD48" s="154">
        <v>0</v>
      </c>
      <c r="AE48" s="155"/>
      <c r="AF48" s="156"/>
      <c r="AG48" s="101"/>
      <c r="AH48" s="102"/>
      <c r="AI48" s="103"/>
      <c r="AJ48" s="113">
        <f t="shared" si="12"/>
        <v>0</v>
      </c>
      <c r="AK48" s="30">
        <f t="shared" si="11"/>
        <v>0</v>
      </c>
      <c r="AL48" s="148"/>
      <c r="AM48" s="148"/>
      <c r="AN48" s="148"/>
      <c r="AO48" s="153"/>
      <c r="AP48" s="153"/>
      <c r="AQ48" s="150"/>
      <c r="AR48" s="150"/>
    </row>
    <row r="49" spans="1:44" s="56" customFormat="1" ht="75" customHeight="1" x14ac:dyDescent="0.2">
      <c r="A49" s="32"/>
      <c r="B49" s="236"/>
      <c r="C49" s="233"/>
      <c r="D49" s="219"/>
      <c r="E49" s="219"/>
      <c r="F49" s="79" t="s">
        <v>2518</v>
      </c>
      <c r="G49" s="45" t="s">
        <v>2337</v>
      </c>
      <c r="H49" s="110" t="s">
        <v>2516</v>
      </c>
      <c r="I49" s="110" t="s">
        <v>2420</v>
      </c>
      <c r="J49" s="68" t="s">
        <v>2261</v>
      </c>
      <c r="K49" s="42">
        <f>+L49+N49+P49+R49+T49</f>
        <v>100</v>
      </c>
      <c r="L49" s="64">
        <v>0</v>
      </c>
      <c r="M49" s="28">
        <v>0</v>
      </c>
      <c r="N49" s="64">
        <v>0</v>
      </c>
      <c r="O49" s="64">
        <v>0</v>
      </c>
      <c r="P49" s="64">
        <v>33</v>
      </c>
      <c r="Q49" s="64"/>
      <c r="R49" s="64">
        <v>41</v>
      </c>
      <c r="S49" s="64"/>
      <c r="T49" s="64">
        <v>26</v>
      </c>
      <c r="U49" s="64"/>
      <c r="V49" s="64">
        <f t="shared" si="13"/>
        <v>0</v>
      </c>
      <c r="W49" s="30">
        <f t="shared" si="8"/>
        <v>0</v>
      </c>
      <c r="X49" s="256">
        <v>0</v>
      </c>
      <c r="Y49" s="257"/>
      <c r="Z49" s="258"/>
      <c r="AA49" s="166">
        <v>0</v>
      </c>
      <c r="AB49" s="167"/>
      <c r="AC49" s="168"/>
      <c r="AD49" s="154">
        <v>0</v>
      </c>
      <c r="AE49" s="155"/>
      <c r="AF49" s="156"/>
      <c r="AG49" s="101"/>
      <c r="AH49" s="102"/>
      <c r="AI49" s="103"/>
      <c r="AJ49" s="113">
        <f t="shared" si="12"/>
        <v>0</v>
      </c>
      <c r="AK49" s="30" t="e">
        <f t="shared" si="11"/>
        <v>#DIV/0!</v>
      </c>
      <c r="AL49" s="149"/>
      <c r="AM49" s="148"/>
      <c r="AN49" s="148"/>
      <c r="AO49" s="152"/>
      <c r="AP49" s="152"/>
      <c r="AQ49" s="150"/>
      <c r="AR49" s="150"/>
    </row>
    <row r="50" spans="1:44" s="56" customFormat="1" ht="81" customHeight="1" x14ac:dyDescent="0.2">
      <c r="A50" s="32"/>
      <c r="B50" s="236"/>
      <c r="C50" s="234"/>
      <c r="D50" s="210"/>
      <c r="E50" s="210"/>
      <c r="F50" s="47" t="s">
        <v>2458</v>
      </c>
      <c r="G50" s="45" t="s">
        <v>2337</v>
      </c>
      <c r="H50" s="110" t="s">
        <v>2423</v>
      </c>
      <c r="I50" s="110" t="s">
        <v>2236</v>
      </c>
      <c r="J50" s="68" t="s">
        <v>2258</v>
      </c>
      <c r="K50" s="75">
        <v>100</v>
      </c>
      <c r="L50" s="64">
        <v>100</v>
      </c>
      <c r="M50" s="28">
        <v>100</v>
      </c>
      <c r="N50" s="64">
        <v>100</v>
      </c>
      <c r="O50" s="64">
        <v>75</v>
      </c>
      <c r="P50" s="64">
        <v>100</v>
      </c>
      <c r="Q50" s="64"/>
      <c r="R50" s="64">
        <v>100</v>
      </c>
      <c r="S50" s="64"/>
      <c r="T50" s="64">
        <v>100</v>
      </c>
      <c r="U50" s="64"/>
      <c r="V50" s="82">
        <f>+AVERAGE(M50,O50,0,0,0)</f>
        <v>35</v>
      </c>
      <c r="W50" s="30">
        <f t="shared" si="8"/>
        <v>0.35</v>
      </c>
      <c r="X50" s="256">
        <v>25</v>
      </c>
      <c r="Y50" s="257"/>
      <c r="Z50" s="258"/>
      <c r="AA50" s="166">
        <v>50</v>
      </c>
      <c r="AB50" s="167"/>
      <c r="AC50" s="168"/>
      <c r="AD50" s="154">
        <v>75</v>
      </c>
      <c r="AE50" s="155"/>
      <c r="AF50" s="156"/>
      <c r="AG50" s="166">
        <v>0</v>
      </c>
      <c r="AH50" s="167"/>
      <c r="AI50" s="168"/>
      <c r="AJ50" s="113">
        <f>+AA50+X50</f>
        <v>75</v>
      </c>
      <c r="AK50" s="62">
        <f t="shared" si="11"/>
        <v>0.75</v>
      </c>
      <c r="AL50" s="117" t="s">
        <v>2600</v>
      </c>
      <c r="AM50" s="149"/>
      <c r="AN50" s="149"/>
      <c r="AO50" s="33">
        <v>644723</v>
      </c>
      <c r="AP50" s="33">
        <v>394467</v>
      </c>
      <c r="AQ50" s="33">
        <v>1362411</v>
      </c>
      <c r="AR50" s="33">
        <v>582766</v>
      </c>
    </row>
    <row r="51" spans="1:44" s="56" customFormat="1" ht="65.25" customHeight="1" x14ac:dyDescent="0.2">
      <c r="A51" s="32"/>
      <c r="B51" s="236"/>
      <c r="C51" s="67" t="s">
        <v>2272</v>
      </c>
      <c r="D51" s="110" t="s">
        <v>2432</v>
      </c>
      <c r="E51" s="110" t="s">
        <v>2397</v>
      </c>
      <c r="F51" s="110" t="s">
        <v>2373</v>
      </c>
      <c r="G51" s="110" t="s">
        <v>2372</v>
      </c>
      <c r="H51" s="110" t="s">
        <v>2374</v>
      </c>
      <c r="I51" s="110" t="s">
        <v>2269</v>
      </c>
      <c r="J51" s="95" t="s">
        <v>2261</v>
      </c>
      <c r="K51" s="42">
        <f>+L51+N51+P51+R51+T51</f>
        <v>5000</v>
      </c>
      <c r="L51" s="111">
        <v>0</v>
      </c>
      <c r="M51" s="28">
        <f t="shared" si="9"/>
        <v>1591</v>
      </c>
      <c r="N51" s="64">
        <v>1593</v>
      </c>
      <c r="O51" s="64">
        <v>1591</v>
      </c>
      <c r="P51" s="64">
        <v>532</v>
      </c>
      <c r="Q51" s="64">
        <v>0</v>
      </c>
      <c r="R51" s="64">
        <v>1500</v>
      </c>
      <c r="S51" s="64">
        <v>0</v>
      </c>
      <c r="T51" s="64">
        <v>1375</v>
      </c>
      <c r="U51" s="64">
        <v>0</v>
      </c>
      <c r="V51" s="83">
        <f>O51</f>
        <v>1591</v>
      </c>
      <c r="W51" s="62">
        <f t="shared" si="8"/>
        <v>0.31819999999999998</v>
      </c>
      <c r="X51" s="256">
        <v>1327</v>
      </c>
      <c r="Y51" s="257"/>
      <c r="Z51" s="258"/>
      <c r="AA51" s="166">
        <v>1591</v>
      </c>
      <c r="AB51" s="167"/>
      <c r="AC51" s="168"/>
      <c r="AD51" s="154">
        <v>1591</v>
      </c>
      <c r="AE51" s="155"/>
      <c r="AF51" s="156"/>
      <c r="AG51" s="166">
        <v>0</v>
      </c>
      <c r="AH51" s="167"/>
      <c r="AI51" s="168"/>
      <c r="AJ51" s="113">
        <f>+AA51</f>
        <v>1591</v>
      </c>
      <c r="AK51" s="62">
        <f t="shared" si="11"/>
        <v>0.99874450721908348</v>
      </c>
      <c r="AL51" s="31" t="s">
        <v>2519</v>
      </c>
      <c r="AM51" s="31" t="s">
        <v>2474</v>
      </c>
      <c r="AN51" s="147" t="s">
        <v>2526</v>
      </c>
      <c r="AO51" s="33">
        <v>0</v>
      </c>
      <c r="AP51" s="33">
        <v>0</v>
      </c>
      <c r="AQ51" s="33">
        <v>0</v>
      </c>
      <c r="AR51" s="33">
        <v>0</v>
      </c>
    </row>
    <row r="52" spans="1:44" s="56" customFormat="1" ht="65.25" customHeight="1" x14ac:dyDescent="0.2">
      <c r="A52" s="32"/>
      <c r="B52" s="236"/>
      <c r="C52" s="67" t="s">
        <v>2272</v>
      </c>
      <c r="D52" s="110" t="s">
        <v>2432</v>
      </c>
      <c r="E52" s="110" t="s">
        <v>2397</v>
      </c>
      <c r="F52" s="110" t="s">
        <v>2537</v>
      </c>
      <c r="G52" s="110" t="s">
        <v>2372</v>
      </c>
      <c r="H52" s="110" t="s">
        <v>2538</v>
      </c>
      <c r="I52" s="110" t="s">
        <v>2235</v>
      </c>
      <c r="J52" s="95" t="s">
        <v>2261</v>
      </c>
      <c r="K52" s="42">
        <v>20977</v>
      </c>
      <c r="L52" s="111">
        <v>0</v>
      </c>
      <c r="M52" s="28">
        <v>0</v>
      </c>
      <c r="N52" s="64">
        <v>5477</v>
      </c>
      <c r="O52" s="64">
        <v>3420</v>
      </c>
      <c r="P52" s="64">
        <v>10500</v>
      </c>
      <c r="Q52" s="64">
        <v>0</v>
      </c>
      <c r="R52" s="64">
        <v>5000</v>
      </c>
      <c r="S52" s="64">
        <v>0</v>
      </c>
      <c r="T52" s="64">
        <v>0</v>
      </c>
      <c r="U52" s="64">
        <v>0</v>
      </c>
      <c r="V52" s="83">
        <f>O52</f>
        <v>3420</v>
      </c>
      <c r="W52" s="62">
        <f>V52/K52</f>
        <v>0.16303570577298945</v>
      </c>
      <c r="X52" s="256">
        <v>0</v>
      </c>
      <c r="Y52" s="257"/>
      <c r="Z52" s="258"/>
      <c r="AA52" s="256">
        <v>2453</v>
      </c>
      <c r="AB52" s="257"/>
      <c r="AC52" s="258"/>
      <c r="AD52" s="256">
        <v>3420</v>
      </c>
      <c r="AE52" s="257"/>
      <c r="AF52" s="258"/>
      <c r="AG52" s="166">
        <v>0</v>
      </c>
      <c r="AH52" s="167"/>
      <c r="AI52" s="168"/>
      <c r="AJ52" s="113">
        <f>AD52</f>
        <v>3420</v>
      </c>
      <c r="AK52" s="62">
        <f>AJ52/N52</f>
        <v>0.62442943217089653</v>
      </c>
      <c r="AL52" s="98" t="s">
        <v>2586</v>
      </c>
      <c r="AM52" s="98" t="s">
        <v>2541</v>
      </c>
      <c r="AN52" s="148"/>
      <c r="AO52" s="129"/>
      <c r="AP52" s="129"/>
      <c r="AQ52" s="33">
        <v>0</v>
      </c>
      <c r="AR52" s="33">
        <v>0</v>
      </c>
    </row>
    <row r="53" spans="1:44" s="56" customFormat="1" ht="65.25" customHeight="1" x14ac:dyDescent="0.2">
      <c r="A53" s="32"/>
      <c r="B53" s="236"/>
      <c r="C53" s="67" t="s">
        <v>2272</v>
      </c>
      <c r="D53" s="110" t="s">
        <v>2432</v>
      </c>
      <c r="E53" s="110" t="s">
        <v>2397</v>
      </c>
      <c r="F53" s="110" t="s">
        <v>2540</v>
      </c>
      <c r="G53" s="110" t="s">
        <v>2372</v>
      </c>
      <c r="H53" s="110" t="s">
        <v>2539</v>
      </c>
      <c r="I53" s="110" t="s">
        <v>2235</v>
      </c>
      <c r="J53" s="95" t="s">
        <v>2261</v>
      </c>
      <c r="K53" s="42">
        <v>100</v>
      </c>
      <c r="L53" s="111">
        <v>0</v>
      </c>
      <c r="M53" s="28">
        <v>0</v>
      </c>
      <c r="N53" s="64">
        <v>36</v>
      </c>
      <c r="O53" s="64">
        <v>25.28</v>
      </c>
      <c r="P53" s="64">
        <v>32</v>
      </c>
      <c r="Q53" s="64">
        <v>0</v>
      </c>
      <c r="R53" s="64">
        <v>32</v>
      </c>
      <c r="S53" s="64">
        <v>0</v>
      </c>
      <c r="T53" s="64">
        <v>0</v>
      </c>
      <c r="U53" s="64">
        <v>0</v>
      </c>
      <c r="V53" s="83">
        <v>100</v>
      </c>
      <c r="W53" s="62">
        <f>+O53/V53</f>
        <v>0.25280000000000002</v>
      </c>
      <c r="X53" s="256">
        <v>0</v>
      </c>
      <c r="Y53" s="257"/>
      <c r="Z53" s="258"/>
      <c r="AA53" s="270">
        <v>11</v>
      </c>
      <c r="AB53" s="270"/>
      <c r="AC53" s="270"/>
      <c r="AD53" s="166">
        <v>25.28</v>
      </c>
      <c r="AE53" s="167"/>
      <c r="AF53" s="168"/>
      <c r="AG53" s="270">
        <v>0</v>
      </c>
      <c r="AH53" s="270"/>
      <c r="AI53" s="270"/>
      <c r="AJ53" s="96">
        <f>AD53</f>
        <v>25.28</v>
      </c>
      <c r="AK53" s="62">
        <f>AJ53/N53</f>
        <v>0.7022222222222223</v>
      </c>
      <c r="AL53" s="98" t="s">
        <v>2587</v>
      </c>
      <c r="AM53" s="98" t="s">
        <v>2542</v>
      </c>
      <c r="AN53" s="149"/>
      <c r="AO53" s="129"/>
      <c r="AP53" s="129"/>
      <c r="AQ53" s="33">
        <v>0</v>
      </c>
      <c r="AR53" s="33"/>
    </row>
    <row r="54" spans="1:44" s="56" customFormat="1" ht="63" customHeight="1" x14ac:dyDescent="0.2">
      <c r="A54" s="32"/>
      <c r="B54" s="236"/>
      <c r="C54" s="232" t="s">
        <v>2272</v>
      </c>
      <c r="D54" s="209" t="s">
        <v>2432</v>
      </c>
      <c r="E54" s="209" t="s">
        <v>2397</v>
      </c>
      <c r="F54" s="45" t="s">
        <v>2331</v>
      </c>
      <c r="G54" s="45" t="s">
        <v>2332</v>
      </c>
      <c r="H54" s="110" t="s">
        <v>2424</v>
      </c>
      <c r="I54" s="110" t="s">
        <v>2425</v>
      </c>
      <c r="J54" s="68" t="s">
        <v>2261</v>
      </c>
      <c r="K54" s="42">
        <f>+L54+N54+P54+R54+T54</f>
        <v>6</v>
      </c>
      <c r="L54" s="64">
        <v>0</v>
      </c>
      <c r="M54" s="28">
        <f t="shared" si="9"/>
        <v>3</v>
      </c>
      <c r="N54" s="64">
        <v>3</v>
      </c>
      <c r="O54" s="64">
        <v>3</v>
      </c>
      <c r="P54" s="64">
        <v>3</v>
      </c>
      <c r="Q54" s="64"/>
      <c r="R54" s="64">
        <v>0</v>
      </c>
      <c r="S54" s="64"/>
      <c r="T54" s="64">
        <v>0</v>
      </c>
      <c r="U54" s="64"/>
      <c r="V54" s="82">
        <v>3</v>
      </c>
      <c r="W54" s="30">
        <f>+V54/K54</f>
        <v>0.5</v>
      </c>
      <c r="X54" s="259">
        <v>1</v>
      </c>
      <c r="Y54" s="260"/>
      <c r="Z54" s="261"/>
      <c r="AA54" s="166">
        <v>3</v>
      </c>
      <c r="AB54" s="167"/>
      <c r="AC54" s="168"/>
      <c r="AD54" s="154">
        <v>3</v>
      </c>
      <c r="AE54" s="155"/>
      <c r="AF54" s="156"/>
      <c r="AG54" s="166">
        <v>0</v>
      </c>
      <c r="AH54" s="167"/>
      <c r="AI54" s="168"/>
      <c r="AJ54" s="113">
        <f>+AA54</f>
        <v>3</v>
      </c>
      <c r="AK54" s="30">
        <f t="shared" si="11"/>
        <v>1</v>
      </c>
      <c r="AL54" s="116" t="s">
        <v>2596</v>
      </c>
      <c r="AM54" s="147" t="s">
        <v>2599</v>
      </c>
      <c r="AN54" s="147" t="s">
        <v>2527</v>
      </c>
      <c r="AO54" s="151">
        <v>203</v>
      </c>
      <c r="AP54" s="151">
        <v>0</v>
      </c>
      <c r="AQ54" s="150">
        <v>195</v>
      </c>
      <c r="AR54" s="150">
        <v>0</v>
      </c>
    </row>
    <row r="55" spans="1:44" s="56" customFormat="1" ht="63" customHeight="1" x14ac:dyDescent="0.2">
      <c r="A55" s="32"/>
      <c r="B55" s="236"/>
      <c r="C55" s="233"/>
      <c r="D55" s="219"/>
      <c r="E55" s="219"/>
      <c r="F55" s="46" t="s">
        <v>2455</v>
      </c>
      <c r="G55" s="45" t="s">
        <v>2332</v>
      </c>
      <c r="H55" s="110" t="s">
        <v>2456</v>
      </c>
      <c r="I55" s="110" t="s">
        <v>2425</v>
      </c>
      <c r="J55" s="68" t="s">
        <v>2457</v>
      </c>
      <c r="K55" s="42">
        <f>+L55+N55+P55+R55+T55</f>
        <v>6</v>
      </c>
      <c r="L55" s="64">
        <v>0</v>
      </c>
      <c r="M55" s="28">
        <v>0</v>
      </c>
      <c r="N55" s="64">
        <v>3</v>
      </c>
      <c r="O55" s="64">
        <v>3</v>
      </c>
      <c r="P55" s="64">
        <v>3</v>
      </c>
      <c r="Q55" s="64"/>
      <c r="R55" s="64">
        <v>0</v>
      </c>
      <c r="S55" s="64"/>
      <c r="T55" s="64">
        <v>0</v>
      </c>
      <c r="U55" s="64"/>
      <c r="V55" s="82">
        <v>3</v>
      </c>
      <c r="W55" s="30">
        <f>+V55/K55</f>
        <v>0.5</v>
      </c>
      <c r="X55" s="259">
        <v>1</v>
      </c>
      <c r="Y55" s="260"/>
      <c r="Z55" s="261"/>
      <c r="AA55" s="166">
        <v>3</v>
      </c>
      <c r="AB55" s="167"/>
      <c r="AC55" s="168"/>
      <c r="AD55" s="154">
        <v>3</v>
      </c>
      <c r="AE55" s="155"/>
      <c r="AF55" s="156"/>
      <c r="AG55" s="166">
        <v>0</v>
      </c>
      <c r="AH55" s="167"/>
      <c r="AI55" s="168"/>
      <c r="AJ55" s="113">
        <f>+AA55</f>
        <v>3</v>
      </c>
      <c r="AK55" s="30">
        <f t="shared" si="11"/>
        <v>1</v>
      </c>
      <c r="AL55" s="120" t="s">
        <v>2597</v>
      </c>
      <c r="AM55" s="148"/>
      <c r="AN55" s="148"/>
      <c r="AO55" s="152"/>
      <c r="AP55" s="152"/>
      <c r="AQ55" s="150"/>
      <c r="AR55" s="150"/>
    </row>
    <row r="56" spans="1:44" s="56" customFormat="1" ht="87.75" customHeight="1" x14ac:dyDescent="0.2">
      <c r="A56" s="32"/>
      <c r="B56" s="236"/>
      <c r="C56" s="234"/>
      <c r="D56" s="210"/>
      <c r="E56" s="210"/>
      <c r="F56" s="47" t="s">
        <v>2454</v>
      </c>
      <c r="G56" s="45" t="s">
        <v>2332</v>
      </c>
      <c r="H56" s="110" t="s">
        <v>2426</v>
      </c>
      <c r="I56" s="110" t="s">
        <v>2236</v>
      </c>
      <c r="J56" s="68" t="s">
        <v>2258</v>
      </c>
      <c r="K56" s="75">
        <v>100</v>
      </c>
      <c r="L56" s="64">
        <v>100</v>
      </c>
      <c r="M56" s="28">
        <v>100</v>
      </c>
      <c r="N56" s="64">
        <v>100</v>
      </c>
      <c r="O56" s="64">
        <v>75</v>
      </c>
      <c r="P56" s="64">
        <v>100</v>
      </c>
      <c r="Q56" s="64"/>
      <c r="R56" s="64">
        <v>100</v>
      </c>
      <c r="S56" s="64"/>
      <c r="T56" s="64">
        <v>100</v>
      </c>
      <c r="U56" s="64"/>
      <c r="V56" s="82">
        <f>+AVERAGE(M56,O56,0,0,0)</f>
        <v>35</v>
      </c>
      <c r="W56" s="30">
        <f t="shared" si="8"/>
        <v>0.35</v>
      </c>
      <c r="X56" s="256">
        <v>25</v>
      </c>
      <c r="Y56" s="257"/>
      <c r="Z56" s="258"/>
      <c r="AA56" s="166">
        <v>50</v>
      </c>
      <c r="AB56" s="167"/>
      <c r="AC56" s="168"/>
      <c r="AD56" s="154">
        <v>75</v>
      </c>
      <c r="AE56" s="155"/>
      <c r="AF56" s="156"/>
      <c r="AG56" s="166">
        <v>0</v>
      </c>
      <c r="AH56" s="167"/>
      <c r="AI56" s="168"/>
      <c r="AJ56" s="113">
        <f>+AA56+X56</f>
        <v>75</v>
      </c>
      <c r="AK56" s="62">
        <f t="shared" si="11"/>
        <v>0.75</v>
      </c>
      <c r="AL56" s="117" t="s">
        <v>2598</v>
      </c>
      <c r="AM56" s="149"/>
      <c r="AN56" s="149"/>
      <c r="AO56" s="33">
        <v>33138</v>
      </c>
      <c r="AP56" s="33">
        <v>8126</v>
      </c>
      <c r="AQ56" s="33">
        <v>372962</v>
      </c>
      <c r="AR56" s="33">
        <v>219983</v>
      </c>
    </row>
    <row r="57" spans="1:44" s="56" customFormat="1" ht="67.5" customHeight="1" x14ac:dyDescent="0.2">
      <c r="A57" s="32"/>
      <c r="B57" s="236"/>
      <c r="C57" s="232" t="s">
        <v>2272</v>
      </c>
      <c r="D57" s="209" t="s">
        <v>2432</v>
      </c>
      <c r="E57" s="209" t="s">
        <v>2397</v>
      </c>
      <c r="F57" s="104" t="s">
        <v>2333</v>
      </c>
      <c r="G57" s="45" t="s">
        <v>2334</v>
      </c>
      <c r="H57" s="110" t="s">
        <v>2335</v>
      </c>
      <c r="I57" s="110" t="s">
        <v>2269</v>
      </c>
      <c r="J57" s="68" t="s">
        <v>2261</v>
      </c>
      <c r="K57" s="42">
        <f>+L57+N57+P57+R57+T57</f>
        <v>43</v>
      </c>
      <c r="L57" s="64">
        <v>0</v>
      </c>
      <c r="M57" s="28">
        <f t="shared" si="9"/>
        <v>10</v>
      </c>
      <c r="N57" s="64">
        <v>14</v>
      </c>
      <c r="O57" s="64">
        <v>10</v>
      </c>
      <c r="P57" s="64">
        <v>16</v>
      </c>
      <c r="Q57" s="64"/>
      <c r="R57" s="64">
        <v>10</v>
      </c>
      <c r="S57" s="64"/>
      <c r="T57" s="64">
        <v>3</v>
      </c>
      <c r="U57" s="64"/>
      <c r="V57" s="82">
        <v>10</v>
      </c>
      <c r="W57" s="62">
        <f>+V57/K57</f>
        <v>0.23255813953488372</v>
      </c>
      <c r="X57" s="259">
        <v>9</v>
      </c>
      <c r="Y57" s="260"/>
      <c r="Z57" s="261"/>
      <c r="AA57" s="166">
        <v>10</v>
      </c>
      <c r="AB57" s="167"/>
      <c r="AC57" s="168"/>
      <c r="AD57" s="154">
        <v>10</v>
      </c>
      <c r="AE57" s="155"/>
      <c r="AF57" s="156"/>
      <c r="AG57" s="166">
        <v>0</v>
      </c>
      <c r="AH57" s="167"/>
      <c r="AI57" s="168"/>
      <c r="AJ57" s="113">
        <v>10</v>
      </c>
      <c r="AK57" s="62">
        <f t="shared" si="11"/>
        <v>0.7142857142857143</v>
      </c>
      <c r="AL57" s="116" t="s">
        <v>2590</v>
      </c>
      <c r="AM57" s="147" t="s">
        <v>2592</v>
      </c>
      <c r="AN57" s="147" t="s">
        <v>2528</v>
      </c>
      <c r="AO57" s="33">
        <v>0</v>
      </c>
      <c r="AP57" s="33">
        <v>0</v>
      </c>
      <c r="AQ57" s="33">
        <v>0</v>
      </c>
      <c r="AR57" s="33">
        <v>0</v>
      </c>
    </row>
    <row r="58" spans="1:44" s="56" customFormat="1" ht="108.75" customHeight="1" x14ac:dyDescent="0.2">
      <c r="A58" s="32"/>
      <c r="B58" s="236"/>
      <c r="C58" s="234"/>
      <c r="D58" s="210"/>
      <c r="E58" s="210"/>
      <c r="F58" s="104" t="s">
        <v>2462</v>
      </c>
      <c r="G58" s="45" t="s">
        <v>2334</v>
      </c>
      <c r="H58" s="104" t="s">
        <v>2427</v>
      </c>
      <c r="I58" s="104" t="s">
        <v>2236</v>
      </c>
      <c r="J58" s="68" t="s">
        <v>2258</v>
      </c>
      <c r="K58" s="75">
        <v>100</v>
      </c>
      <c r="L58" s="64">
        <v>100</v>
      </c>
      <c r="M58" s="28">
        <v>100</v>
      </c>
      <c r="N58" s="64">
        <v>100</v>
      </c>
      <c r="O58" s="64">
        <v>75</v>
      </c>
      <c r="P58" s="64">
        <v>100</v>
      </c>
      <c r="Q58" s="64">
        <v>100</v>
      </c>
      <c r="R58" s="64">
        <v>100</v>
      </c>
      <c r="S58" s="64">
        <v>100</v>
      </c>
      <c r="T58" s="64">
        <v>100</v>
      </c>
      <c r="U58" s="64"/>
      <c r="V58" s="82">
        <f>+AVERAGE(M58,O58,0,0,0)</f>
        <v>35</v>
      </c>
      <c r="W58" s="30">
        <f t="shared" si="8"/>
        <v>0.35</v>
      </c>
      <c r="X58" s="256">
        <v>25</v>
      </c>
      <c r="Y58" s="257"/>
      <c r="Z58" s="258"/>
      <c r="AA58" s="166">
        <v>25</v>
      </c>
      <c r="AB58" s="167"/>
      <c r="AC58" s="168"/>
      <c r="AD58" s="154">
        <v>75</v>
      </c>
      <c r="AE58" s="155"/>
      <c r="AF58" s="156"/>
      <c r="AG58" s="166">
        <v>0</v>
      </c>
      <c r="AH58" s="167"/>
      <c r="AI58" s="168"/>
      <c r="AJ58" s="113">
        <f>+AD58</f>
        <v>75</v>
      </c>
      <c r="AK58" s="62">
        <f t="shared" si="11"/>
        <v>0.75</v>
      </c>
      <c r="AL58" s="117" t="s">
        <v>2591</v>
      </c>
      <c r="AM58" s="149"/>
      <c r="AN58" s="149"/>
      <c r="AO58" s="33">
        <v>20166</v>
      </c>
      <c r="AP58" s="33">
        <v>10404</v>
      </c>
      <c r="AQ58" s="33">
        <v>52132</v>
      </c>
      <c r="AR58" s="33">
        <v>6021</v>
      </c>
    </row>
    <row r="59" spans="1:44" s="56" customFormat="1" ht="47.25" customHeight="1" x14ac:dyDescent="0.2">
      <c r="A59" s="32"/>
      <c r="B59" s="236"/>
      <c r="C59" s="232" t="s">
        <v>2272</v>
      </c>
      <c r="D59" s="209" t="s">
        <v>2432</v>
      </c>
      <c r="E59" s="209" t="s">
        <v>2397</v>
      </c>
      <c r="F59" s="209" t="s">
        <v>2329</v>
      </c>
      <c r="G59" s="45" t="s">
        <v>2330</v>
      </c>
      <c r="H59" s="209" t="s">
        <v>2339</v>
      </c>
      <c r="I59" s="79" t="s">
        <v>2391</v>
      </c>
      <c r="J59" s="26" t="s">
        <v>2259</v>
      </c>
      <c r="K59" s="48">
        <v>100</v>
      </c>
      <c r="L59" s="43">
        <v>20</v>
      </c>
      <c r="M59" s="28">
        <v>20</v>
      </c>
      <c r="N59" s="43">
        <v>40</v>
      </c>
      <c r="O59" s="43">
        <v>35</v>
      </c>
      <c r="P59" s="43">
        <v>60</v>
      </c>
      <c r="Q59" s="43"/>
      <c r="R59" s="43">
        <v>80</v>
      </c>
      <c r="S59" s="43"/>
      <c r="T59" s="43">
        <v>100</v>
      </c>
      <c r="U59" s="43"/>
      <c r="V59" s="64">
        <f>+O59</f>
        <v>35</v>
      </c>
      <c r="W59" s="30">
        <f t="shared" si="8"/>
        <v>0.35</v>
      </c>
      <c r="X59" s="259">
        <v>25</v>
      </c>
      <c r="Y59" s="260"/>
      <c r="Z59" s="261"/>
      <c r="AA59" s="166">
        <v>30</v>
      </c>
      <c r="AB59" s="167"/>
      <c r="AC59" s="168"/>
      <c r="AD59" s="154">
        <v>35</v>
      </c>
      <c r="AE59" s="155"/>
      <c r="AF59" s="156"/>
      <c r="AG59" s="166">
        <v>0</v>
      </c>
      <c r="AH59" s="167"/>
      <c r="AI59" s="168"/>
      <c r="AJ59" s="113">
        <f>+AD59</f>
        <v>35</v>
      </c>
      <c r="AK59" s="62">
        <f t="shared" si="11"/>
        <v>0.875</v>
      </c>
      <c r="AL59" s="116" t="s">
        <v>2584</v>
      </c>
      <c r="AM59" s="147" t="s">
        <v>2482</v>
      </c>
      <c r="AN59" s="147" t="s">
        <v>2529</v>
      </c>
      <c r="AO59" s="33">
        <v>0</v>
      </c>
      <c r="AP59" s="33">
        <v>0</v>
      </c>
      <c r="AQ59" s="33">
        <v>164</v>
      </c>
      <c r="AR59" s="33">
        <v>164</v>
      </c>
    </row>
    <row r="60" spans="1:44" s="56" customFormat="1" ht="47.25" customHeight="1" x14ac:dyDescent="0.2">
      <c r="A60" s="32"/>
      <c r="B60" s="236"/>
      <c r="C60" s="234"/>
      <c r="D60" s="210"/>
      <c r="E60" s="210"/>
      <c r="F60" s="210"/>
      <c r="G60" s="45" t="s">
        <v>2330</v>
      </c>
      <c r="H60" s="210"/>
      <c r="I60" s="79" t="s">
        <v>2235</v>
      </c>
      <c r="J60" s="26" t="s">
        <v>2258</v>
      </c>
      <c r="K60" s="48">
        <v>1</v>
      </c>
      <c r="L60" s="43">
        <v>1</v>
      </c>
      <c r="M60" s="28">
        <v>1</v>
      </c>
      <c r="N60" s="43">
        <v>1</v>
      </c>
      <c r="O60" s="43">
        <v>0.95</v>
      </c>
      <c r="P60" s="43">
        <v>1</v>
      </c>
      <c r="Q60" s="43"/>
      <c r="R60" s="43">
        <v>1</v>
      </c>
      <c r="S60" s="43"/>
      <c r="T60" s="43">
        <v>1</v>
      </c>
      <c r="U60" s="43"/>
      <c r="V60" s="82">
        <f>+AVERAGE(M60,O60,0,0,0)</f>
        <v>0.39</v>
      </c>
      <c r="W60" s="62">
        <f>AVERAGE(M60+O60)/5</f>
        <v>0.39</v>
      </c>
      <c r="X60" s="259">
        <v>0.26</v>
      </c>
      <c r="Y60" s="260"/>
      <c r="Z60" s="261"/>
      <c r="AA60" s="166">
        <f>0.85-X60</f>
        <v>0.59</v>
      </c>
      <c r="AB60" s="167"/>
      <c r="AC60" s="168"/>
      <c r="AD60" s="166">
        <v>0.95</v>
      </c>
      <c r="AE60" s="167"/>
      <c r="AF60" s="168"/>
      <c r="AG60" s="166">
        <v>0</v>
      </c>
      <c r="AH60" s="167"/>
      <c r="AI60" s="168"/>
      <c r="AJ60" s="113">
        <f>AD60</f>
        <v>0.95</v>
      </c>
      <c r="AK60" s="30">
        <f t="shared" si="11"/>
        <v>0.95</v>
      </c>
      <c r="AL60" s="117" t="s">
        <v>2585</v>
      </c>
      <c r="AM60" s="149"/>
      <c r="AN60" s="149"/>
      <c r="AO60" s="33">
        <v>2224</v>
      </c>
      <c r="AP60" s="33">
        <v>2224</v>
      </c>
      <c r="AQ60" s="33">
        <v>1655</v>
      </c>
      <c r="AR60" s="33">
        <v>1620</v>
      </c>
    </row>
    <row r="61" spans="1:44" s="56" customFormat="1" ht="79.5" customHeight="1" x14ac:dyDescent="0.2">
      <c r="A61" s="32"/>
      <c r="B61" s="236"/>
      <c r="C61" s="109" t="s">
        <v>2272</v>
      </c>
      <c r="D61" s="105" t="s">
        <v>2432</v>
      </c>
      <c r="E61" s="105" t="s">
        <v>2397</v>
      </c>
      <c r="F61" s="105" t="s">
        <v>2386</v>
      </c>
      <c r="G61" s="105" t="s">
        <v>2385</v>
      </c>
      <c r="H61" s="105" t="s">
        <v>2387</v>
      </c>
      <c r="I61" s="104" t="s">
        <v>2236</v>
      </c>
      <c r="J61" s="26" t="s">
        <v>2258</v>
      </c>
      <c r="K61" s="48">
        <v>100</v>
      </c>
      <c r="L61" s="43">
        <v>100</v>
      </c>
      <c r="M61" s="28">
        <v>100</v>
      </c>
      <c r="N61" s="43">
        <v>100</v>
      </c>
      <c r="O61" s="43">
        <v>75</v>
      </c>
      <c r="P61" s="43">
        <v>100</v>
      </c>
      <c r="Q61" s="43"/>
      <c r="R61" s="43">
        <v>100</v>
      </c>
      <c r="S61" s="43"/>
      <c r="T61" s="43">
        <v>100</v>
      </c>
      <c r="U61" s="43"/>
      <c r="V61" s="82">
        <f>+AVERAGE(M61,O61,0,0,0)</f>
        <v>35</v>
      </c>
      <c r="W61" s="30">
        <f t="shared" si="8"/>
        <v>0.35</v>
      </c>
      <c r="X61" s="256">
        <v>25</v>
      </c>
      <c r="Y61" s="257"/>
      <c r="Z61" s="258"/>
      <c r="AA61" s="166">
        <v>50</v>
      </c>
      <c r="AB61" s="167"/>
      <c r="AC61" s="168"/>
      <c r="AD61" s="154">
        <v>75</v>
      </c>
      <c r="AE61" s="155"/>
      <c r="AF61" s="156"/>
      <c r="AG61" s="166">
        <v>0</v>
      </c>
      <c r="AH61" s="167"/>
      <c r="AI61" s="168"/>
      <c r="AJ61" s="113">
        <f>+AA61+X61</f>
        <v>75</v>
      </c>
      <c r="AK61" s="62">
        <f t="shared" si="11"/>
        <v>0.75</v>
      </c>
      <c r="AL61" s="31" t="s">
        <v>2594</v>
      </c>
      <c r="AM61" s="31" t="s">
        <v>2595</v>
      </c>
      <c r="AN61" s="31" t="s">
        <v>2528</v>
      </c>
      <c r="AO61" s="33">
        <v>18946</v>
      </c>
      <c r="AP61" s="33">
        <v>18852</v>
      </c>
      <c r="AQ61" s="33">
        <v>102658</v>
      </c>
      <c r="AR61" s="33">
        <v>31259</v>
      </c>
    </row>
    <row r="62" spans="1:44" s="56" customFormat="1" ht="47.25" customHeight="1" x14ac:dyDescent="0.2">
      <c r="A62" s="32"/>
      <c r="B62" s="236"/>
      <c r="C62" s="232" t="s">
        <v>2272</v>
      </c>
      <c r="D62" s="209" t="s">
        <v>2432</v>
      </c>
      <c r="E62" s="209" t="s">
        <v>2397</v>
      </c>
      <c r="F62" s="45" t="s">
        <v>2352</v>
      </c>
      <c r="G62" s="45" t="s">
        <v>2393</v>
      </c>
      <c r="H62" s="105" t="s">
        <v>2394</v>
      </c>
      <c r="I62" s="104" t="s">
        <v>2269</v>
      </c>
      <c r="J62" s="26" t="s">
        <v>2261</v>
      </c>
      <c r="K62" s="42">
        <f>+L62+N62+P62+R62+T62</f>
        <v>1</v>
      </c>
      <c r="L62" s="43">
        <v>0</v>
      </c>
      <c r="M62" s="28">
        <f t="shared" si="9"/>
        <v>0</v>
      </c>
      <c r="N62" s="43">
        <v>0</v>
      </c>
      <c r="O62" s="43">
        <v>0</v>
      </c>
      <c r="P62" s="43">
        <v>0.3</v>
      </c>
      <c r="Q62" s="43"/>
      <c r="R62" s="43">
        <v>0.7</v>
      </c>
      <c r="S62" s="43"/>
      <c r="T62" s="43">
        <v>0</v>
      </c>
      <c r="U62" s="43"/>
      <c r="V62" s="29">
        <v>0</v>
      </c>
      <c r="W62" s="30" t="e">
        <f t="shared" si="6"/>
        <v>#DIV/0!</v>
      </c>
      <c r="X62" s="256">
        <v>0</v>
      </c>
      <c r="Y62" s="257"/>
      <c r="Z62" s="258"/>
      <c r="AA62" s="166">
        <v>0</v>
      </c>
      <c r="AB62" s="167"/>
      <c r="AC62" s="168"/>
      <c r="AD62" s="154">
        <v>0</v>
      </c>
      <c r="AE62" s="155"/>
      <c r="AF62" s="156"/>
      <c r="AG62" s="166">
        <v>0</v>
      </c>
      <c r="AH62" s="167"/>
      <c r="AI62" s="168"/>
      <c r="AJ62" s="113">
        <f t="shared" si="12"/>
        <v>0</v>
      </c>
      <c r="AK62" s="30">
        <v>0</v>
      </c>
      <c r="AL62" s="147" t="s">
        <v>2593</v>
      </c>
      <c r="AM62" s="147" t="s">
        <v>2483</v>
      </c>
      <c r="AN62" s="147" t="s">
        <v>2530</v>
      </c>
      <c r="AO62" s="33">
        <v>0</v>
      </c>
      <c r="AP62" s="33">
        <v>0</v>
      </c>
      <c r="AQ62" s="33">
        <v>0</v>
      </c>
      <c r="AR62" s="33">
        <v>0</v>
      </c>
    </row>
    <row r="63" spans="1:44" s="56" customFormat="1" ht="47.25" customHeight="1" x14ac:dyDescent="0.2">
      <c r="A63" s="32"/>
      <c r="B63" s="236"/>
      <c r="C63" s="234"/>
      <c r="D63" s="210"/>
      <c r="E63" s="210"/>
      <c r="F63" s="47" t="s">
        <v>2463</v>
      </c>
      <c r="G63" s="79" t="s">
        <v>2393</v>
      </c>
      <c r="H63" s="105" t="s">
        <v>2428</v>
      </c>
      <c r="I63" s="104" t="s">
        <v>2236</v>
      </c>
      <c r="J63" s="26" t="s">
        <v>2258</v>
      </c>
      <c r="K63" s="48">
        <v>100</v>
      </c>
      <c r="L63" s="43">
        <v>100</v>
      </c>
      <c r="M63" s="28">
        <v>100</v>
      </c>
      <c r="N63" s="43">
        <v>100</v>
      </c>
      <c r="O63" s="43">
        <v>75</v>
      </c>
      <c r="P63" s="43">
        <v>100</v>
      </c>
      <c r="Q63" s="43"/>
      <c r="R63" s="43">
        <v>100</v>
      </c>
      <c r="S63" s="43"/>
      <c r="T63" s="43">
        <v>100</v>
      </c>
      <c r="U63" s="43"/>
      <c r="V63" s="82">
        <f>+AVERAGE(M63,O63,0,0,0)</f>
        <v>35</v>
      </c>
      <c r="W63" s="30">
        <f>+V63/K63</f>
        <v>0.35</v>
      </c>
      <c r="X63" s="256">
        <v>25</v>
      </c>
      <c r="Y63" s="257"/>
      <c r="Z63" s="258"/>
      <c r="AA63" s="166">
        <v>50</v>
      </c>
      <c r="AB63" s="167"/>
      <c r="AC63" s="168"/>
      <c r="AD63" s="154">
        <v>75</v>
      </c>
      <c r="AE63" s="155"/>
      <c r="AF63" s="156"/>
      <c r="AG63" s="166">
        <v>0</v>
      </c>
      <c r="AH63" s="167"/>
      <c r="AI63" s="168"/>
      <c r="AJ63" s="113">
        <f>+AA63+X63</f>
        <v>75</v>
      </c>
      <c r="AK63" s="62">
        <f>AJ63/N63</f>
        <v>0.75</v>
      </c>
      <c r="AL63" s="149"/>
      <c r="AM63" s="149"/>
      <c r="AN63" s="149"/>
      <c r="AO63" s="33">
        <v>0</v>
      </c>
      <c r="AP63" s="33">
        <v>0</v>
      </c>
      <c r="AQ63" s="33">
        <v>25171</v>
      </c>
      <c r="AR63" s="33">
        <v>171</v>
      </c>
    </row>
    <row r="64" spans="1:44" s="56" customFormat="1" ht="67.5" customHeight="1" x14ac:dyDescent="0.2">
      <c r="A64" s="32"/>
      <c r="B64" s="236"/>
      <c r="C64" s="109" t="s">
        <v>2272</v>
      </c>
      <c r="D64" s="105" t="s">
        <v>2432</v>
      </c>
      <c r="E64" s="105" t="s">
        <v>2436</v>
      </c>
      <c r="F64" s="130" t="s">
        <v>2439</v>
      </c>
      <c r="G64" s="105" t="s">
        <v>2435</v>
      </c>
      <c r="H64" s="105" t="s">
        <v>2437</v>
      </c>
      <c r="I64" s="104" t="s">
        <v>2392</v>
      </c>
      <c r="J64" s="26" t="s">
        <v>2259</v>
      </c>
      <c r="K64" s="42">
        <f>100</f>
        <v>100</v>
      </c>
      <c r="L64" s="43">
        <v>0</v>
      </c>
      <c r="M64" s="28">
        <v>0</v>
      </c>
      <c r="N64" s="43">
        <v>20</v>
      </c>
      <c r="O64" s="43">
        <v>12.94</v>
      </c>
      <c r="P64" s="43">
        <v>70</v>
      </c>
      <c r="Q64" s="43"/>
      <c r="R64" s="43">
        <v>100</v>
      </c>
      <c r="S64" s="43"/>
      <c r="T64" s="43">
        <v>0</v>
      </c>
      <c r="U64" s="43"/>
      <c r="V64" s="61">
        <v>12.94</v>
      </c>
      <c r="W64" s="62">
        <f>+O64/K64</f>
        <v>0.12939999999999999</v>
      </c>
      <c r="X64" s="256">
        <v>3.97</v>
      </c>
      <c r="Y64" s="257"/>
      <c r="Z64" s="258"/>
      <c r="AA64" s="166">
        <f>8.48-X64</f>
        <v>4.51</v>
      </c>
      <c r="AB64" s="167"/>
      <c r="AC64" s="168"/>
      <c r="AD64" s="166">
        <v>12.94</v>
      </c>
      <c r="AE64" s="167"/>
      <c r="AF64" s="168"/>
      <c r="AG64" s="166">
        <v>0</v>
      </c>
      <c r="AH64" s="167"/>
      <c r="AI64" s="168"/>
      <c r="AJ64" s="113">
        <f>MAX(X64:AI64)</f>
        <v>12.94</v>
      </c>
      <c r="AK64" s="62">
        <f>+AJ64/N64</f>
        <v>0.64700000000000002</v>
      </c>
      <c r="AL64" s="31" t="s">
        <v>2606</v>
      </c>
      <c r="AM64" s="31" t="s">
        <v>2514</v>
      </c>
      <c r="AN64" s="31" t="s">
        <v>2543</v>
      </c>
      <c r="AO64" s="33">
        <v>0</v>
      </c>
      <c r="AP64" s="33">
        <v>0</v>
      </c>
      <c r="AQ64" s="33">
        <v>45320</v>
      </c>
      <c r="AR64" s="33">
        <v>43084</v>
      </c>
    </row>
    <row r="65" spans="1:49" s="56" customFormat="1" ht="53.25" customHeight="1" x14ac:dyDescent="0.2">
      <c r="A65" s="32"/>
      <c r="B65" s="236"/>
      <c r="C65" s="109" t="s">
        <v>2272</v>
      </c>
      <c r="D65" s="105" t="s">
        <v>2432</v>
      </c>
      <c r="E65" s="105" t="s">
        <v>2436</v>
      </c>
      <c r="F65" s="130" t="s">
        <v>2440</v>
      </c>
      <c r="G65" s="105" t="s">
        <v>2467</v>
      </c>
      <c r="H65" s="105" t="s">
        <v>2438</v>
      </c>
      <c r="I65" s="104" t="s">
        <v>2392</v>
      </c>
      <c r="J65" s="26" t="s">
        <v>2259</v>
      </c>
      <c r="K65" s="42">
        <v>60</v>
      </c>
      <c r="L65" s="43">
        <v>20.28</v>
      </c>
      <c r="M65" s="28">
        <v>19.91</v>
      </c>
      <c r="N65" s="43">
        <v>23.69</v>
      </c>
      <c r="O65" s="43">
        <v>22.11</v>
      </c>
      <c r="P65" s="43">
        <v>33.729999999999997</v>
      </c>
      <c r="Q65" s="43"/>
      <c r="R65" s="43">
        <v>40.08</v>
      </c>
      <c r="S65" s="43"/>
      <c r="T65" s="43">
        <v>60</v>
      </c>
      <c r="U65" s="43"/>
      <c r="V65" s="43">
        <f>+O65</f>
        <v>22.11</v>
      </c>
      <c r="W65" s="62">
        <f>+(V65-19.44)/(60-19.44)</f>
        <v>6.5828402366863853E-2</v>
      </c>
      <c r="X65" s="256">
        <v>20.49</v>
      </c>
      <c r="Y65" s="257"/>
      <c r="Z65" s="258"/>
      <c r="AA65" s="166">
        <v>21.13</v>
      </c>
      <c r="AB65" s="167"/>
      <c r="AC65" s="168"/>
      <c r="AD65" s="166">
        <v>22.11</v>
      </c>
      <c r="AE65" s="167"/>
      <c r="AF65" s="168"/>
      <c r="AG65" s="166">
        <v>0</v>
      </c>
      <c r="AH65" s="167"/>
      <c r="AI65" s="168"/>
      <c r="AJ65" s="113">
        <f>+AD65</f>
        <v>22.11</v>
      </c>
      <c r="AK65" s="62">
        <f>+(22.11-19.91)/(23.69-19.91)</f>
        <v>0.58201058201058165</v>
      </c>
      <c r="AL65" s="31" t="s">
        <v>2609</v>
      </c>
      <c r="AM65" s="31" t="s">
        <v>2610</v>
      </c>
      <c r="AN65" s="31" t="s">
        <v>2544</v>
      </c>
      <c r="AO65" s="33">
        <v>432945</v>
      </c>
      <c r="AP65" s="33">
        <v>171196</v>
      </c>
      <c r="AQ65" s="33">
        <v>610409</v>
      </c>
      <c r="AR65" s="33">
        <v>425265</v>
      </c>
    </row>
    <row r="66" spans="1:49" s="56" customFormat="1" ht="96.75" customHeight="1" x14ac:dyDescent="0.2">
      <c r="A66" s="32"/>
      <c r="B66" s="238"/>
      <c r="C66" s="109" t="s">
        <v>2271</v>
      </c>
      <c r="D66" s="105" t="s">
        <v>2433</v>
      </c>
      <c r="E66" s="105" t="s">
        <v>2400</v>
      </c>
      <c r="F66" s="105" t="s">
        <v>2401</v>
      </c>
      <c r="G66" s="105" t="s">
        <v>2402</v>
      </c>
      <c r="H66" s="105" t="s">
        <v>2403</v>
      </c>
      <c r="I66" s="104" t="s">
        <v>2235</v>
      </c>
      <c r="J66" s="26" t="s">
        <v>2259</v>
      </c>
      <c r="K66" s="48">
        <v>4</v>
      </c>
      <c r="L66" s="43">
        <v>0</v>
      </c>
      <c r="M66" s="28">
        <v>0</v>
      </c>
      <c r="N66" s="43">
        <v>1</v>
      </c>
      <c r="O66" s="43">
        <v>2</v>
      </c>
      <c r="P66" s="43">
        <v>2</v>
      </c>
      <c r="Q66" s="43">
        <v>0</v>
      </c>
      <c r="R66" s="43">
        <v>3</v>
      </c>
      <c r="S66" s="43">
        <v>0</v>
      </c>
      <c r="T66" s="43">
        <v>4</v>
      </c>
      <c r="U66" s="43">
        <v>0</v>
      </c>
      <c r="V66" s="43">
        <v>2</v>
      </c>
      <c r="W66" s="30">
        <v>0.33329999999999999</v>
      </c>
      <c r="X66" s="256">
        <v>0</v>
      </c>
      <c r="Y66" s="257"/>
      <c r="Z66" s="258"/>
      <c r="AA66" s="166">
        <v>0</v>
      </c>
      <c r="AB66" s="167"/>
      <c r="AC66" s="168"/>
      <c r="AD66" s="154">
        <v>2</v>
      </c>
      <c r="AE66" s="155"/>
      <c r="AF66" s="156"/>
      <c r="AG66" s="166">
        <v>0</v>
      </c>
      <c r="AH66" s="167"/>
      <c r="AI66" s="168"/>
      <c r="AJ66" s="49">
        <f t="shared" si="10"/>
        <v>2</v>
      </c>
      <c r="AK66" s="30">
        <f>+AJ66/N66</f>
        <v>2</v>
      </c>
      <c r="AL66" s="31" t="s">
        <v>2607</v>
      </c>
      <c r="AM66" s="31" t="s">
        <v>2484</v>
      </c>
      <c r="AN66" s="147" t="s">
        <v>2548</v>
      </c>
      <c r="AO66" s="33">
        <v>1124</v>
      </c>
      <c r="AP66" s="33">
        <v>1124</v>
      </c>
      <c r="AQ66" s="146">
        <v>577</v>
      </c>
      <c r="AR66" s="146">
        <v>482</v>
      </c>
    </row>
    <row r="67" spans="1:49" s="56" customFormat="1" ht="96.75" customHeight="1" x14ac:dyDescent="0.2">
      <c r="A67" s="32"/>
      <c r="B67" s="238"/>
      <c r="C67" s="109" t="s">
        <v>2271</v>
      </c>
      <c r="D67" s="105" t="s">
        <v>2433</v>
      </c>
      <c r="E67" s="105" t="s">
        <v>2400</v>
      </c>
      <c r="F67" s="105" t="s">
        <v>2550</v>
      </c>
      <c r="G67" s="105" t="s">
        <v>2402</v>
      </c>
      <c r="H67" s="105" t="s">
        <v>2531</v>
      </c>
      <c r="I67" s="104" t="s">
        <v>2235</v>
      </c>
      <c r="J67" s="26" t="s">
        <v>2261</v>
      </c>
      <c r="K67" s="48">
        <v>100</v>
      </c>
      <c r="L67" s="43">
        <v>0</v>
      </c>
      <c r="M67" s="28">
        <v>0</v>
      </c>
      <c r="N67" s="43">
        <v>45</v>
      </c>
      <c r="O67" s="43">
        <v>40</v>
      </c>
      <c r="P67" s="43">
        <v>20</v>
      </c>
      <c r="Q67" s="43">
        <v>0</v>
      </c>
      <c r="R67" s="43">
        <v>35</v>
      </c>
      <c r="S67" s="43">
        <v>0</v>
      </c>
      <c r="T67" s="43">
        <v>0</v>
      </c>
      <c r="U67" s="43"/>
      <c r="V67" s="43">
        <v>40</v>
      </c>
      <c r="W67" s="30">
        <f>+O67/K67</f>
        <v>0.4</v>
      </c>
      <c r="X67" s="256">
        <v>0</v>
      </c>
      <c r="Y67" s="257"/>
      <c r="Z67" s="258"/>
      <c r="AA67" s="256">
        <v>30</v>
      </c>
      <c r="AB67" s="257"/>
      <c r="AC67" s="258"/>
      <c r="AD67" s="256">
        <v>40</v>
      </c>
      <c r="AE67" s="257"/>
      <c r="AF67" s="258"/>
      <c r="AG67" s="269"/>
      <c r="AH67" s="269"/>
      <c r="AI67" s="269"/>
      <c r="AJ67" s="50">
        <f>+AD67</f>
        <v>40</v>
      </c>
      <c r="AK67" s="73">
        <f>+AJ67/N67</f>
        <v>0.88888888888888884</v>
      </c>
      <c r="AL67" s="31" t="s">
        <v>2608</v>
      </c>
      <c r="AM67" s="51" t="s">
        <v>2532</v>
      </c>
      <c r="AN67" s="149"/>
      <c r="AO67" s="33"/>
      <c r="AP67" s="33"/>
      <c r="AQ67" s="146"/>
      <c r="AR67" s="146"/>
      <c r="AS67" s="268"/>
      <c r="AT67" s="268"/>
      <c r="AU67" s="268"/>
      <c r="AV67" s="57"/>
      <c r="AW67" s="58"/>
    </row>
    <row r="68" spans="1:49" s="56" customFormat="1" ht="90" customHeight="1" x14ac:dyDescent="0.2">
      <c r="A68" s="32"/>
      <c r="B68" s="236"/>
      <c r="C68" s="109" t="s">
        <v>2442</v>
      </c>
      <c r="D68" s="105" t="s">
        <v>2433</v>
      </c>
      <c r="E68" s="104" t="s">
        <v>2400</v>
      </c>
      <c r="F68" s="105" t="s">
        <v>2491</v>
      </c>
      <c r="G68" s="45" t="s">
        <v>2490</v>
      </c>
      <c r="H68" s="105" t="s">
        <v>2465</v>
      </c>
      <c r="I68" s="104" t="s">
        <v>2235</v>
      </c>
      <c r="J68" s="104" t="s">
        <v>2260</v>
      </c>
      <c r="K68" s="48">
        <v>15</v>
      </c>
      <c r="L68" s="43">
        <v>26</v>
      </c>
      <c r="M68" s="28">
        <v>26</v>
      </c>
      <c r="N68" s="43">
        <v>25</v>
      </c>
      <c r="O68" s="43">
        <v>26</v>
      </c>
      <c r="P68" s="43">
        <v>23</v>
      </c>
      <c r="Q68" s="43"/>
      <c r="R68" s="43">
        <v>20</v>
      </c>
      <c r="S68" s="43"/>
      <c r="T68" s="43">
        <v>15</v>
      </c>
      <c r="U68" s="43"/>
      <c r="V68" s="64">
        <v>0</v>
      </c>
      <c r="W68" s="62">
        <v>0</v>
      </c>
      <c r="X68" s="256">
        <v>26</v>
      </c>
      <c r="Y68" s="257"/>
      <c r="Z68" s="258"/>
      <c r="AA68" s="166">
        <v>26</v>
      </c>
      <c r="AB68" s="167"/>
      <c r="AC68" s="168"/>
      <c r="AD68" s="154">
        <v>0</v>
      </c>
      <c r="AE68" s="155"/>
      <c r="AF68" s="156"/>
      <c r="AG68" s="166">
        <v>0</v>
      </c>
      <c r="AH68" s="167"/>
      <c r="AI68" s="168"/>
      <c r="AJ68" s="112">
        <f>+AA68</f>
        <v>26</v>
      </c>
      <c r="AK68" s="63">
        <f>AG68/L68</f>
        <v>0</v>
      </c>
      <c r="AL68" s="147" t="s">
        <v>2611</v>
      </c>
      <c r="AM68" s="147" t="s">
        <v>2485</v>
      </c>
      <c r="AN68" s="147" t="s">
        <v>2549</v>
      </c>
      <c r="AO68" s="151">
        <v>2850</v>
      </c>
      <c r="AP68" s="151">
        <v>2850</v>
      </c>
      <c r="AQ68" s="150">
        <v>8791</v>
      </c>
      <c r="AR68" s="150">
        <v>3759</v>
      </c>
    </row>
    <row r="69" spans="1:49" s="56" customFormat="1" ht="53.25" customHeight="1" x14ac:dyDescent="0.2">
      <c r="A69" s="32"/>
      <c r="B69" s="236"/>
      <c r="C69" s="109"/>
      <c r="D69" s="105" t="s">
        <v>2433</v>
      </c>
      <c r="E69" s="104" t="s">
        <v>2400</v>
      </c>
      <c r="F69" s="105" t="s">
        <v>2464</v>
      </c>
      <c r="G69" s="45" t="s">
        <v>2490</v>
      </c>
      <c r="H69" s="105" t="s">
        <v>2466</v>
      </c>
      <c r="I69" s="104" t="s">
        <v>2235</v>
      </c>
      <c r="J69" s="26" t="s">
        <v>2260</v>
      </c>
      <c r="K69" s="48">
        <v>15</v>
      </c>
      <c r="L69" s="43">
        <v>24</v>
      </c>
      <c r="M69" s="28">
        <v>24</v>
      </c>
      <c r="N69" s="43">
        <v>23.5</v>
      </c>
      <c r="O69" s="43">
        <v>24</v>
      </c>
      <c r="P69" s="43">
        <v>23</v>
      </c>
      <c r="Q69" s="43"/>
      <c r="R69" s="43">
        <v>20</v>
      </c>
      <c r="S69" s="97"/>
      <c r="T69" s="43">
        <v>15</v>
      </c>
      <c r="U69" s="43"/>
      <c r="V69" s="64">
        <v>0</v>
      </c>
      <c r="W69" s="62">
        <v>0</v>
      </c>
      <c r="X69" s="256">
        <v>24</v>
      </c>
      <c r="Y69" s="257"/>
      <c r="Z69" s="258"/>
      <c r="AA69" s="166">
        <v>24</v>
      </c>
      <c r="AB69" s="167"/>
      <c r="AC69" s="168"/>
      <c r="AD69" s="154">
        <v>24</v>
      </c>
      <c r="AE69" s="155"/>
      <c r="AF69" s="156"/>
      <c r="AG69" s="166">
        <v>0</v>
      </c>
      <c r="AH69" s="167"/>
      <c r="AI69" s="168"/>
      <c r="AJ69" s="112">
        <f>+AA69</f>
        <v>24</v>
      </c>
      <c r="AK69" s="63">
        <f>AG69/L69</f>
        <v>0</v>
      </c>
      <c r="AL69" s="149"/>
      <c r="AM69" s="149"/>
      <c r="AN69" s="149"/>
      <c r="AO69" s="152"/>
      <c r="AP69" s="152"/>
      <c r="AQ69" s="150"/>
      <c r="AR69" s="150"/>
    </row>
    <row r="70" spans="1:49" s="56" customFormat="1" ht="64.5" customHeight="1" x14ac:dyDescent="0.2">
      <c r="A70" s="32"/>
      <c r="B70" s="236"/>
      <c r="C70" s="109" t="s">
        <v>2398</v>
      </c>
      <c r="D70" s="105" t="s">
        <v>2434</v>
      </c>
      <c r="E70" s="105" t="s">
        <v>2405</v>
      </c>
      <c r="F70" s="105" t="s">
        <v>2404</v>
      </c>
      <c r="G70" s="105" t="s">
        <v>2408</v>
      </c>
      <c r="H70" s="105" t="s">
        <v>2406</v>
      </c>
      <c r="I70" s="104" t="s">
        <v>2235</v>
      </c>
      <c r="J70" s="26" t="s">
        <v>2259</v>
      </c>
      <c r="K70" s="42">
        <v>1320551</v>
      </c>
      <c r="L70" s="43">
        <v>880367</v>
      </c>
      <c r="M70" s="60">
        <v>880367</v>
      </c>
      <c r="N70" s="43">
        <v>889171</v>
      </c>
      <c r="O70" s="43">
        <v>675000</v>
      </c>
      <c r="P70" s="43">
        <v>994815</v>
      </c>
      <c r="Q70" s="43"/>
      <c r="R70" s="43">
        <v>1214907</v>
      </c>
      <c r="S70" s="32"/>
      <c r="T70" s="43">
        <v>1320551</v>
      </c>
      <c r="U70" s="43"/>
      <c r="V70" s="61">
        <f>+O70</f>
        <v>675000</v>
      </c>
      <c r="W70" s="62">
        <f>+V70/K70</f>
        <v>0.51115026984947953</v>
      </c>
      <c r="X70" s="256">
        <v>665000</v>
      </c>
      <c r="Y70" s="257"/>
      <c r="Z70" s="258"/>
      <c r="AA70" s="166">
        <v>675000</v>
      </c>
      <c r="AB70" s="167"/>
      <c r="AC70" s="168"/>
      <c r="AD70" s="154">
        <v>675000</v>
      </c>
      <c r="AE70" s="155"/>
      <c r="AF70" s="156"/>
      <c r="AG70" s="166">
        <v>0</v>
      </c>
      <c r="AH70" s="167"/>
      <c r="AI70" s="168"/>
      <c r="AJ70" s="112">
        <f>+AA70</f>
        <v>675000</v>
      </c>
      <c r="AK70" s="63">
        <f>+AJ70/N70</f>
        <v>0.75913406982458942</v>
      </c>
      <c r="AL70" s="31" t="s">
        <v>2552</v>
      </c>
      <c r="AM70" s="31" t="s">
        <v>2551</v>
      </c>
      <c r="AN70" s="31" t="s">
        <v>2547</v>
      </c>
      <c r="AO70" s="33">
        <v>418</v>
      </c>
      <c r="AP70" s="33">
        <v>418</v>
      </c>
      <c r="AQ70" s="124">
        <v>3689</v>
      </c>
      <c r="AR70" s="124">
        <v>3172</v>
      </c>
    </row>
    <row r="71" spans="1:49" s="56" customFormat="1" ht="74.25" customHeight="1" x14ac:dyDescent="0.2">
      <c r="A71" s="32"/>
      <c r="B71" s="236"/>
      <c r="C71" s="182" t="s">
        <v>2443</v>
      </c>
      <c r="D71" s="182" t="s">
        <v>2434</v>
      </c>
      <c r="E71" s="209" t="s">
        <v>2405</v>
      </c>
      <c r="F71" s="45" t="s">
        <v>2407</v>
      </c>
      <c r="G71" s="45" t="s">
        <v>2468</v>
      </c>
      <c r="H71" s="105" t="s">
        <v>2409</v>
      </c>
      <c r="I71" s="104" t="s">
        <v>2235</v>
      </c>
      <c r="J71" s="26" t="s">
        <v>2259</v>
      </c>
      <c r="K71" s="48">
        <v>6500</v>
      </c>
      <c r="L71" s="43">
        <v>2400</v>
      </c>
      <c r="M71" s="28">
        <v>3586</v>
      </c>
      <c r="N71" s="43">
        <v>4000</v>
      </c>
      <c r="O71" s="43">
        <v>4857</v>
      </c>
      <c r="P71" s="43">
        <v>4500</v>
      </c>
      <c r="Q71" s="43"/>
      <c r="R71" s="43">
        <v>5900</v>
      </c>
      <c r="S71" s="43"/>
      <c r="T71" s="43">
        <v>6500</v>
      </c>
      <c r="U71" s="43"/>
      <c r="V71" s="43">
        <f>+O71</f>
        <v>4857</v>
      </c>
      <c r="W71" s="62">
        <f>+(O71-2112)/(6500-2112)</f>
        <v>0.62556973564266183</v>
      </c>
      <c r="X71" s="256">
        <v>4100</v>
      </c>
      <c r="Y71" s="257"/>
      <c r="Z71" s="258"/>
      <c r="AA71" s="166">
        <v>4196</v>
      </c>
      <c r="AB71" s="167"/>
      <c r="AC71" s="168"/>
      <c r="AD71" s="154">
        <v>4857</v>
      </c>
      <c r="AE71" s="155"/>
      <c r="AF71" s="156"/>
      <c r="AG71" s="166">
        <v>0</v>
      </c>
      <c r="AH71" s="167"/>
      <c r="AI71" s="168"/>
      <c r="AJ71" s="44">
        <f>+AD71</f>
        <v>4857</v>
      </c>
      <c r="AK71" s="63">
        <f>+(AJ71-3586)/(N71-3586)</f>
        <v>3.0700483091787438</v>
      </c>
      <c r="AL71" s="147" t="s">
        <v>2553</v>
      </c>
      <c r="AM71" s="147" t="s">
        <v>2486</v>
      </c>
      <c r="AN71" s="147" t="s">
        <v>2545</v>
      </c>
      <c r="AO71" s="151">
        <v>45</v>
      </c>
      <c r="AP71" s="151">
        <v>45</v>
      </c>
      <c r="AQ71" s="150">
        <v>238</v>
      </c>
      <c r="AR71" s="150">
        <v>196</v>
      </c>
    </row>
    <row r="72" spans="1:49" s="56" customFormat="1" ht="99" customHeight="1" x14ac:dyDescent="0.2">
      <c r="A72" s="32"/>
      <c r="B72" s="236"/>
      <c r="C72" s="183"/>
      <c r="D72" s="183"/>
      <c r="E72" s="210"/>
      <c r="F72" s="47" t="s">
        <v>2492</v>
      </c>
      <c r="G72" s="45" t="s">
        <v>2468</v>
      </c>
      <c r="H72" s="105" t="s">
        <v>2487</v>
      </c>
      <c r="I72" s="104" t="s">
        <v>2235</v>
      </c>
      <c r="J72" s="26" t="s">
        <v>2261</v>
      </c>
      <c r="K72" s="48">
        <v>20</v>
      </c>
      <c r="L72" s="43">
        <v>0</v>
      </c>
      <c r="M72" s="28">
        <v>0</v>
      </c>
      <c r="N72" s="43">
        <v>0</v>
      </c>
      <c r="O72" s="43">
        <v>0</v>
      </c>
      <c r="P72" s="43">
        <v>0</v>
      </c>
      <c r="Q72" s="43"/>
      <c r="R72" s="43">
        <v>0</v>
      </c>
      <c r="S72" s="43"/>
      <c r="T72" s="43">
        <v>20</v>
      </c>
      <c r="U72" s="43"/>
      <c r="V72" s="43">
        <v>0</v>
      </c>
      <c r="W72" s="62">
        <v>0</v>
      </c>
      <c r="X72" s="256">
        <v>0</v>
      </c>
      <c r="Y72" s="257"/>
      <c r="Z72" s="258"/>
      <c r="AA72" s="166">
        <v>0</v>
      </c>
      <c r="AB72" s="167"/>
      <c r="AC72" s="168"/>
      <c r="AD72" s="154">
        <v>0</v>
      </c>
      <c r="AE72" s="155"/>
      <c r="AF72" s="156"/>
      <c r="AG72" s="166">
        <v>0</v>
      </c>
      <c r="AH72" s="167"/>
      <c r="AI72" s="168"/>
      <c r="AJ72" s="44">
        <f t="shared" ref="AJ72" si="14">+X72</f>
        <v>0</v>
      </c>
      <c r="AK72" s="63" t="e">
        <f>+AJ72/N72</f>
        <v>#DIV/0!</v>
      </c>
      <c r="AL72" s="149"/>
      <c r="AM72" s="149"/>
      <c r="AN72" s="149"/>
      <c r="AO72" s="152"/>
      <c r="AP72" s="152"/>
      <c r="AQ72" s="150"/>
      <c r="AR72" s="150"/>
    </row>
    <row r="73" spans="1:49" s="56" customFormat="1" ht="126" customHeight="1" x14ac:dyDescent="0.2">
      <c r="A73" s="32"/>
      <c r="B73" s="236"/>
      <c r="C73" s="109" t="s">
        <v>2398</v>
      </c>
      <c r="D73" s="105" t="s">
        <v>2434</v>
      </c>
      <c r="E73" s="105" t="s">
        <v>2405</v>
      </c>
      <c r="F73" s="105" t="s">
        <v>2410</v>
      </c>
      <c r="G73" s="105" t="s">
        <v>2411</v>
      </c>
      <c r="H73" s="105" t="s">
        <v>2412</v>
      </c>
      <c r="I73" s="104" t="s">
        <v>2235</v>
      </c>
      <c r="J73" s="26" t="s">
        <v>2261</v>
      </c>
      <c r="K73" s="48">
        <v>100</v>
      </c>
      <c r="L73" s="43">
        <v>5</v>
      </c>
      <c r="M73" s="28">
        <v>5</v>
      </c>
      <c r="N73" s="43">
        <v>30</v>
      </c>
      <c r="O73" s="43">
        <v>25.05</v>
      </c>
      <c r="P73" s="43">
        <v>30</v>
      </c>
      <c r="Q73" s="43"/>
      <c r="R73" s="43">
        <v>30</v>
      </c>
      <c r="S73" s="43"/>
      <c r="T73" s="43">
        <v>5</v>
      </c>
      <c r="U73" s="43">
        <v>0</v>
      </c>
      <c r="V73" s="64">
        <f>+O73+M73</f>
        <v>30.05</v>
      </c>
      <c r="W73" s="30">
        <f>+V73/K73</f>
        <v>0.30049999999999999</v>
      </c>
      <c r="X73" s="256">
        <v>10.65</v>
      </c>
      <c r="Y73" s="257"/>
      <c r="Z73" s="258"/>
      <c r="AA73" s="166">
        <v>16.2</v>
      </c>
      <c r="AB73" s="167"/>
      <c r="AC73" s="168"/>
      <c r="AD73" s="166">
        <v>25.05</v>
      </c>
      <c r="AE73" s="167"/>
      <c r="AF73" s="168"/>
      <c r="AG73" s="166">
        <v>0</v>
      </c>
      <c r="AH73" s="167"/>
      <c r="AI73" s="168"/>
      <c r="AJ73" s="112">
        <f>+AD73</f>
        <v>25.05</v>
      </c>
      <c r="AK73" s="63">
        <f>+AJ73/N73</f>
        <v>0.83500000000000008</v>
      </c>
      <c r="AL73" s="31" t="s">
        <v>2555</v>
      </c>
      <c r="AM73" s="31" t="s">
        <v>2554</v>
      </c>
      <c r="AN73" s="31" t="s">
        <v>2546</v>
      </c>
      <c r="AO73" s="33">
        <v>68</v>
      </c>
      <c r="AP73" s="33">
        <v>68</v>
      </c>
      <c r="AQ73" s="124">
        <v>458</v>
      </c>
      <c r="AR73" s="124">
        <v>312</v>
      </c>
    </row>
    <row r="74" spans="1:49" s="56" customFormat="1" ht="108" customHeight="1" x14ac:dyDescent="0.2">
      <c r="A74" s="32"/>
      <c r="B74" s="238"/>
      <c r="C74" s="109" t="s">
        <v>2444</v>
      </c>
      <c r="D74" s="105" t="s">
        <v>2434</v>
      </c>
      <c r="E74" s="105" t="s">
        <v>2405</v>
      </c>
      <c r="F74" s="105" t="s">
        <v>2557</v>
      </c>
      <c r="G74" s="45" t="s">
        <v>2413</v>
      </c>
      <c r="H74" s="105" t="s">
        <v>2510</v>
      </c>
      <c r="I74" s="104" t="s">
        <v>2445</v>
      </c>
      <c r="J74" s="26" t="s">
        <v>2260</v>
      </c>
      <c r="K74" s="48">
        <v>33.9</v>
      </c>
      <c r="L74" s="43">
        <v>0</v>
      </c>
      <c r="M74" s="28">
        <v>0</v>
      </c>
      <c r="N74" s="43">
        <v>37.799999999999997</v>
      </c>
      <c r="O74" s="43">
        <v>34.4</v>
      </c>
      <c r="P74" s="43">
        <v>36.9</v>
      </c>
      <c r="Q74" s="43"/>
      <c r="R74" s="43">
        <v>34.700000000000003</v>
      </c>
      <c r="S74" s="43"/>
      <c r="T74" s="43">
        <v>33.9</v>
      </c>
      <c r="U74" s="43"/>
      <c r="V74" s="66">
        <f>O74</f>
        <v>34.4</v>
      </c>
      <c r="W74" s="62">
        <f>(38.3-O74)/(38.3-T74)</f>
        <v>0.88636363636363635</v>
      </c>
      <c r="X74" s="256">
        <v>0</v>
      </c>
      <c r="Y74" s="257"/>
      <c r="Z74" s="258"/>
      <c r="AA74" s="166">
        <v>34.4</v>
      </c>
      <c r="AB74" s="167"/>
      <c r="AC74" s="168"/>
      <c r="AD74" s="154">
        <v>34.4</v>
      </c>
      <c r="AE74" s="155"/>
      <c r="AF74" s="156"/>
      <c r="AG74" s="166">
        <v>0</v>
      </c>
      <c r="AH74" s="167"/>
      <c r="AI74" s="168"/>
      <c r="AJ74" s="44">
        <f t="shared" ref="AJ74:AJ75" si="15">AD74+AG74</f>
        <v>34.4</v>
      </c>
      <c r="AK74" s="30">
        <f>(38.3-O74)/(38.3-N74)</f>
        <v>7.7999999999999972</v>
      </c>
      <c r="AL74" s="31" t="s">
        <v>2558</v>
      </c>
      <c r="AM74" s="31" t="s">
        <v>2488</v>
      </c>
      <c r="AN74" s="147" t="s">
        <v>2511</v>
      </c>
      <c r="AO74" s="266">
        <v>127</v>
      </c>
      <c r="AP74" s="266">
        <v>127</v>
      </c>
      <c r="AQ74" s="146">
        <v>1193</v>
      </c>
      <c r="AR74" s="146">
        <v>974</v>
      </c>
    </row>
    <row r="75" spans="1:49" s="56" customFormat="1" ht="106.5" customHeight="1" x14ac:dyDescent="0.2">
      <c r="A75" s="32"/>
      <c r="B75" s="236"/>
      <c r="C75" s="109" t="s">
        <v>2444</v>
      </c>
      <c r="D75" s="105" t="s">
        <v>2434</v>
      </c>
      <c r="E75" s="105" t="s">
        <v>2405</v>
      </c>
      <c r="F75" s="105" t="s">
        <v>2556</v>
      </c>
      <c r="G75" s="45" t="s">
        <v>2413</v>
      </c>
      <c r="H75" s="105" t="s">
        <v>2512</v>
      </c>
      <c r="I75" s="104" t="s">
        <v>2445</v>
      </c>
      <c r="J75" s="26" t="s">
        <v>2260</v>
      </c>
      <c r="K75" s="42">
        <v>17.3</v>
      </c>
      <c r="L75" s="43">
        <v>0</v>
      </c>
      <c r="M75" s="28">
        <v>0</v>
      </c>
      <c r="N75" s="43">
        <v>19.5</v>
      </c>
      <c r="O75" s="43">
        <v>17.600000000000001</v>
      </c>
      <c r="P75" s="43">
        <v>19</v>
      </c>
      <c r="Q75" s="43"/>
      <c r="R75" s="43">
        <v>17.8</v>
      </c>
      <c r="S75" s="43"/>
      <c r="T75" s="43">
        <v>17.3</v>
      </c>
      <c r="U75" s="43"/>
      <c r="V75" s="66">
        <f>O75</f>
        <v>17.600000000000001</v>
      </c>
      <c r="W75" s="62">
        <f>(19.7-O75)/(19.7-T75)</f>
        <v>0.87499999999999967</v>
      </c>
      <c r="X75" s="256">
        <v>0</v>
      </c>
      <c r="Y75" s="257"/>
      <c r="Z75" s="258"/>
      <c r="AA75" s="166">
        <v>17.399999999999999</v>
      </c>
      <c r="AB75" s="167"/>
      <c r="AC75" s="168"/>
      <c r="AD75" s="263">
        <v>17.600000000000001</v>
      </c>
      <c r="AE75" s="264"/>
      <c r="AF75" s="265"/>
      <c r="AG75" s="166">
        <v>0</v>
      </c>
      <c r="AH75" s="167"/>
      <c r="AI75" s="168"/>
      <c r="AJ75" s="44">
        <f t="shared" si="15"/>
        <v>17.600000000000001</v>
      </c>
      <c r="AK75" s="30">
        <f>(19.7-O75)/(19.7-N75)</f>
        <v>10.500000000000027</v>
      </c>
      <c r="AL75" s="31" t="s">
        <v>2558</v>
      </c>
      <c r="AM75" s="31" t="s">
        <v>2488</v>
      </c>
      <c r="AN75" s="149"/>
      <c r="AO75" s="267"/>
      <c r="AP75" s="267"/>
      <c r="AQ75" s="146"/>
      <c r="AR75" s="146"/>
    </row>
    <row r="76" spans="1:49" s="11" customFormat="1" ht="90.75" customHeight="1" x14ac:dyDescent="0.2">
      <c r="A76" s="9"/>
      <c r="B76" s="9"/>
      <c r="C76" s="109" t="s">
        <v>2398</v>
      </c>
      <c r="D76" s="105" t="s">
        <v>2434</v>
      </c>
      <c r="E76" s="105" t="s">
        <v>2405</v>
      </c>
      <c r="F76" s="131" t="s">
        <v>2414</v>
      </c>
      <c r="G76" s="105" t="s">
        <v>2533</v>
      </c>
      <c r="H76" s="105" t="s">
        <v>2489</v>
      </c>
      <c r="I76" s="104" t="s">
        <v>2235</v>
      </c>
      <c r="J76" s="26" t="s">
        <v>2261</v>
      </c>
      <c r="K76" s="42">
        <f>+L76+N76+P76+R76+T76</f>
        <v>100</v>
      </c>
      <c r="L76" s="43">
        <v>0</v>
      </c>
      <c r="M76" s="28">
        <v>0</v>
      </c>
      <c r="N76" s="43">
        <v>35</v>
      </c>
      <c r="O76" s="43">
        <v>0</v>
      </c>
      <c r="P76" s="43">
        <v>35</v>
      </c>
      <c r="Q76" s="43"/>
      <c r="R76" s="43">
        <v>25</v>
      </c>
      <c r="S76" s="43"/>
      <c r="T76" s="43">
        <v>5</v>
      </c>
      <c r="U76" s="43"/>
      <c r="V76" s="29">
        <v>0</v>
      </c>
      <c r="W76" s="30">
        <v>0</v>
      </c>
      <c r="X76" s="256">
        <v>0</v>
      </c>
      <c r="Y76" s="257"/>
      <c r="Z76" s="258"/>
      <c r="AA76" s="166">
        <v>0</v>
      </c>
      <c r="AB76" s="167"/>
      <c r="AC76" s="168"/>
      <c r="AD76" s="154">
        <v>0</v>
      </c>
      <c r="AE76" s="155"/>
      <c r="AF76" s="156"/>
      <c r="AG76" s="166">
        <v>0</v>
      </c>
      <c r="AH76" s="167"/>
      <c r="AI76" s="168"/>
      <c r="AJ76" s="44">
        <f t="shared" ref="AJ76" si="16">AD76+AG76</f>
        <v>0</v>
      </c>
      <c r="AK76" s="30">
        <v>0</v>
      </c>
      <c r="AL76" s="31" t="s">
        <v>2493</v>
      </c>
      <c r="AM76" s="31" t="s">
        <v>2494</v>
      </c>
      <c r="AN76" s="31"/>
      <c r="AO76" s="33">
        <v>0</v>
      </c>
      <c r="AP76" s="33">
        <v>0</v>
      </c>
      <c r="AQ76" s="124">
        <v>87</v>
      </c>
      <c r="AR76" s="124">
        <v>0</v>
      </c>
    </row>
    <row r="77" spans="1:49" s="11" customFormat="1" ht="64.5" customHeight="1" x14ac:dyDescent="0.2">
      <c r="A77" s="9"/>
      <c r="B77" s="9"/>
      <c r="C77" s="132" t="s">
        <v>2275</v>
      </c>
      <c r="D77" s="133"/>
      <c r="E77" s="241" t="s">
        <v>2276</v>
      </c>
      <c r="F77" s="242"/>
      <c r="G77" s="242"/>
      <c r="H77" s="243"/>
      <c r="I77" s="211" t="s">
        <v>2277</v>
      </c>
      <c r="J77" s="211"/>
      <c r="K77" s="211"/>
      <c r="L77" s="262">
        <v>2020</v>
      </c>
      <c r="M77" s="262"/>
      <c r="N77" s="262">
        <v>2021</v>
      </c>
      <c r="O77" s="262"/>
      <c r="P77" s="262">
        <v>2022</v>
      </c>
      <c r="Q77" s="262"/>
      <c r="R77" s="262">
        <v>2023</v>
      </c>
      <c r="S77" s="262"/>
      <c r="T77" s="262">
        <v>2024</v>
      </c>
      <c r="U77" s="262"/>
      <c r="V77" s="134" t="s">
        <v>2240</v>
      </c>
      <c r="W77" s="135"/>
      <c r="X77" s="136"/>
      <c r="Y77" s="136"/>
      <c r="Z77" s="136"/>
      <c r="AA77" s="136"/>
      <c r="AB77" s="136"/>
      <c r="AC77" s="136"/>
      <c r="AD77" s="137"/>
      <c r="AE77" s="137"/>
      <c r="AF77" s="137"/>
      <c r="AG77" s="136"/>
      <c r="AH77" s="136"/>
      <c r="AI77" s="136"/>
      <c r="AJ77" s="10"/>
      <c r="AK77" s="10"/>
      <c r="AL77" s="84"/>
      <c r="AM77" s="138"/>
      <c r="AN77" s="139"/>
      <c r="AO77" s="140"/>
      <c r="AP77" s="140"/>
      <c r="AQ77" s="9"/>
      <c r="AR77" s="9"/>
    </row>
    <row r="78" spans="1:49" s="11" customFormat="1" ht="35.25" customHeight="1" x14ac:dyDescent="0.2">
      <c r="A78" s="9"/>
      <c r="B78" s="9"/>
      <c r="C78" s="38" t="s">
        <v>2278</v>
      </c>
      <c r="D78" s="39"/>
      <c r="E78" s="244" t="s">
        <v>2279</v>
      </c>
      <c r="F78" s="245"/>
      <c r="G78" s="245"/>
      <c r="H78" s="246"/>
      <c r="I78" s="212" t="s">
        <v>2236</v>
      </c>
      <c r="J78" s="212"/>
      <c r="K78" s="212"/>
      <c r="L78" s="217">
        <v>1.32</v>
      </c>
      <c r="M78" s="217"/>
      <c r="N78" s="213">
        <v>0</v>
      </c>
      <c r="O78" s="213"/>
      <c r="P78" s="213">
        <v>0</v>
      </c>
      <c r="Q78" s="213"/>
      <c r="R78" s="213"/>
      <c r="S78" s="213"/>
      <c r="T78" s="213">
        <v>0</v>
      </c>
      <c r="U78" s="213"/>
      <c r="V78" s="141">
        <f>AVERAGE(L78)</f>
        <v>1.32</v>
      </c>
      <c r="W78" s="34"/>
      <c r="AK78" s="35"/>
      <c r="AL78" s="36"/>
      <c r="AN78" s="36"/>
      <c r="AO78" s="37"/>
      <c r="AP78" s="37"/>
      <c r="AQ78" s="9"/>
      <c r="AR78" s="9"/>
    </row>
    <row r="79" spans="1:49" s="11" customFormat="1" ht="35.25" customHeight="1" x14ac:dyDescent="0.2">
      <c r="A79" s="9"/>
      <c r="B79" s="9"/>
      <c r="C79" s="38" t="s">
        <v>2280</v>
      </c>
      <c r="D79" s="39"/>
      <c r="E79" s="214" t="s">
        <v>2281</v>
      </c>
      <c r="F79" s="215"/>
      <c r="G79" s="215"/>
      <c r="H79" s="216"/>
      <c r="I79" s="212" t="s">
        <v>2236</v>
      </c>
      <c r="J79" s="212"/>
      <c r="K79" s="212"/>
      <c r="L79" s="217">
        <v>15.2</v>
      </c>
      <c r="M79" s="217"/>
      <c r="N79" s="213">
        <v>0</v>
      </c>
      <c r="O79" s="213"/>
      <c r="P79" s="213">
        <v>0</v>
      </c>
      <c r="Q79" s="213"/>
      <c r="R79" s="213"/>
      <c r="S79" s="213"/>
      <c r="T79" s="213">
        <v>0</v>
      </c>
      <c r="U79" s="213"/>
      <c r="V79" s="141">
        <f t="shared" ref="V79:V90" si="17">AVERAGE(L79)</f>
        <v>15.2</v>
      </c>
      <c r="W79" s="34"/>
      <c r="AK79" s="35"/>
      <c r="AL79" s="36"/>
      <c r="AN79" s="36"/>
      <c r="AO79" s="37"/>
      <c r="AP79" s="37"/>
      <c r="AQ79" s="9"/>
      <c r="AR79" s="9"/>
    </row>
    <row r="80" spans="1:49" s="11" customFormat="1" ht="35.25" customHeight="1" x14ac:dyDescent="0.2">
      <c r="A80" s="9"/>
      <c r="B80" s="9"/>
      <c r="C80" s="38" t="s">
        <v>2282</v>
      </c>
      <c r="D80" s="39"/>
      <c r="E80" s="214" t="s">
        <v>2283</v>
      </c>
      <c r="F80" s="215"/>
      <c r="G80" s="215"/>
      <c r="H80" s="216"/>
      <c r="I80" s="212" t="s">
        <v>2235</v>
      </c>
      <c r="J80" s="212"/>
      <c r="K80" s="212"/>
      <c r="L80" s="220">
        <v>0.63200000000000001</v>
      </c>
      <c r="M80" s="220"/>
      <c r="N80" s="213">
        <v>0</v>
      </c>
      <c r="O80" s="213"/>
      <c r="P80" s="213">
        <v>0</v>
      </c>
      <c r="Q80" s="213"/>
      <c r="R80" s="213"/>
      <c r="S80" s="213"/>
      <c r="T80" s="213">
        <v>0</v>
      </c>
      <c r="U80" s="213"/>
      <c r="V80" s="141">
        <f t="shared" si="17"/>
        <v>0.63200000000000001</v>
      </c>
      <c r="W80" s="34"/>
      <c r="AK80" s="35"/>
      <c r="AL80" s="36"/>
      <c r="AN80" s="36"/>
      <c r="AO80" s="37"/>
      <c r="AP80" s="37"/>
      <c r="AQ80" s="9"/>
      <c r="AR80" s="9"/>
    </row>
    <row r="81" spans="1:44" s="11" customFormat="1" ht="35.25" customHeight="1" x14ac:dyDescent="0.2">
      <c r="A81" s="9"/>
      <c r="B81" s="9"/>
      <c r="C81" s="38" t="s">
        <v>2284</v>
      </c>
      <c r="D81" s="39"/>
      <c r="E81" s="214" t="s">
        <v>2285</v>
      </c>
      <c r="F81" s="215"/>
      <c r="G81" s="215"/>
      <c r="H81" s="216"/>
      <c r="I81" s="212" t="s">
        <v>2286</v>
      </c>
      <c r="J81" s="212"/>
      <c r="K81" s="212"/>
      <c r="L81" s="217">
        <v>0.41670000000000001</v>
      </c>
      <c r="M81" s="217"/>
      <c r="N81" s="213">
        <v>0</v>
      </c>
      <c r="O81" s="213"/>
      <c r="P81" s="213">
        <v>0</v>
      </c>
      <c r="Q81" s="213"/>
      <c r="R81" s="213"/>
      <c r="S81" s="213"/>
      <c r="T81" s="213">
        <v>0</v>
      </c>
      <c r="U81" s="213"/>
      <c r="V81" s="141">
        <f t="shared" si="17"/>
        <v>0.41670000000000001</v>
      </c>
      <c r="W81" s="34"/>
      <c r="AK81" s="35"/>
      <c r="AL81" s="36"/>
      <c r="AN81" s="36"/>
      <c r="AO81" s="37"/>
      <c r="AP81" s="37"/>
      <c r="AQ81" s="9"/>
      <c r="AR81" s="9"/>
    </row>
    <row r="82" spans="1:44" s="11" customFormat="1" ht="35.25" customHeight="1" x14ac:dyDescent="0.2">
      <c r="A82" s="9"/>
      <c r="B82" s="9"/>
      <c r="C82" s="38" t="s">
        <v>2287</v>
      </c>
      <c r="D82" s="39"/>
      <c r="E82" s="214" t="s">
        <v>2288</v>
      </c>
      <c r="F82" s="215"/>
      <c r="G82" s="215"/>
      <c r="H82" s="216"/>
      <c r="I82" s="212" t="s">
        <v>2235</v>
      </c>
      <c r="J82" s="212"/>
      <c r="K82" s="212"/>
      <c r="L82" s="217">
        <v>293.2</v>
      </c>
      <c r="M82" s="217"/>
      <c r="N82" s="213">
        <v>0</v>
      </c>
      <c r="O82" s="213"/>
      <c r="P82" s="213">
        <v>0</v>
      </c>
      <c r="Q82" s="213"/>
      <c r="R82" s="213"/>
      <c r="S82" s="213"/>
      <c r="T82" s="213">
        <v>0</v>
      </c>
      <c r="U82" s="213"/>
      <c r="V82" s="141">
        <f t="shared" si="17"/>
        <v>293.2</v>
      </c>
      <c r="W82" s="142"/>
      <c r="AD82" s="143"/>
      <c r="AK82" s="35"/>
      <c r="AL82" s="36"/>
      <c r="AN82" s="36"/>
      <c r="AO82" s="37"/>
      <c r="AP82" s="37"/>
      <c r="AQ82" s="9"/>
      <c r="AR82" s="9"/>
    </row>
    <row r="83" spans="1:44" s="11" customFormat="1" ht="35.25" customHeight="1" x14ac:dyDescent="0.2">
      <c r="A83" s="9"/>
      <c r="B83" s="9"/>
      <c r="C83" s="38" t="s">
        <v>2289</v>
      </c>
      <c r="D83" s="39"/>
      <c r="E83" s="214" t="s">
        <v>2290</v>
      </c>
      <c r="F83" s="215"/>
      <c r="G83" s="215"/>
      <c r="H83" s="216"/>
      <c r="I83" s="212" t="s">
        <v>2235</v>
      </c>
      <c r="J83" s="212"/>
      <c r="K83" s="212"/>
      <c r="L83" s="217" t="s">
        <v>2313</v>
      </c>
      <c r="M83" s="217"/>
      <c r="N83" s="213">
        <v>0</v>
      </c>
      <c r="O83" s="213"/>
      <c r="P83" s="213">
        <v>0</v>
      </c>
      <c r="Q83" s="213"/>
      <c r="R83" s="213"/>
      <c r="S83" s="213"/>
      <c r="T83" s="213">
        <v>0</v>
      </c>
      <c r="U83" s="213"/>
      <c r="V83" s="106">
        <v>0</v>
      </c>
      <c r="W83" s="142"/>
      <c r="AD83" s="144"/>
      <c r="AK83" s="35"/>
      <c r="AL83" s="36"/>
      <c r="AN83" s="36"/>
      <c r="AO83" s="37"/>
      <c r="AP83" s="37"/>
      <c r="AQ83" s="9"/>
      <c r="AR83" s="9"/>
    </row>
    <row r="84" spans="1:44" s="11" customFormat="1" ht="35.25" customHeight="1" x14ac:dyDescent="0.2">
      <c r="A84" s="9"/>
      <c r="B84" s="9"/>
      <c r="C84" s="38" t="s">
        <v>2291</v>
      </c>
      <c r="D84" s="39"/>
      <c r="E84" s="214" t="s">
        <v>2292</v>
      </c>
      <c r="F84" s="215"/>
      <c r="G84" s="215"/>
      <c r="H84" s="216"/>
      <c r="I84" s="212" t="s">
        <v>2235</v>
      </c>
      <c r="J84" s="212"/>
      <c r="K84" s="212"/>
      <c r="L84" s="217">
        <v>24.6</v>
      </c>
      <c r="M84" s="217"/>
      <c r="N84" s="213">
        <v>0</v>
      </c>
      <c r="O84" s="213"/>
      <c r="P84" s="213">
        <v>0</v>
      </c>
      <c r="Q84" s="213"/>
      <c r="R84" s="213"/>
      <c r="S84" s="213"/>
      <c r="T84" s="213">
        <v>0</v>
      </c>
      <c r="U84" s="213"/>
      <c r="V84" s="141">
        <f t="shared" si="17"/>
        <v>24.6</v>
      </c>
      <c r="W84" s="34"/>
      <c r="AK84" s="35"/>
      <c r="AL84" s="36"/>
      <c r="AN84" s="36"/>
      <c r="AO84" s="37"/>
      <c r="AP84" s="37"/>
      <c r="AQ84" s="9"/>
      <c r="AR84" s="9"/>
    </row>
    <row r="85" spans="1:44" s="11" customFormat="1" ht="35.25" customHeight="1" x14ac:dyDescent="0.2">
      <c r="A85" s="9"/>
      <c r="B85" s="9"/>
      <c r="C85" s="38" t="s">
        <v>2293</v>
      </c>
      <c r="D85" s="39"/>
      <c r="E85" s="214" t="s">
        <v>2294</v>
      </c>
      <c r="F85" s="215"/>
      <c r="G85" s="215"/>
      <c r="H85" s="216"/>
      <c r="I85" s="212" t="s">
        <v>2235</v>
      </c>
      <c r="J85" s="212"/>
      <c r="K85" s="212"/>
      <c r="L85" s="217" t="s">
        <v>2313</v>
      </c>
      <c r="M85" s="217"/>
      <c r="N85" s="213">
        <v>0</v>
      </c>
      <c r="O85" s="213"/>
      <c r="P85" s="213">
        <v>0</v>
      </c>
      <c r="Q85" s="213"/>
      <c r="R85" s="213"/>
      <c r="S85" s="213"/>
      <c r="T85" s="213">
        <v>0</v>
      </c>
      <c r="U85" s="213"/>
      <c r="V85" s="106">
        <v>0</v>
      </c>
      <c r="W85" s="142"/>
      <c r="AD85" s="144"/>
      <c r="AK85" s="35"/>
      <c r="AL85" s="36"/>
      <c r="AN85" s="36"/>
      <c r="AO85" s="37"/>
      <c r="AP85" s="37"/>
      <c r="AQ85" s="9"/>
      <c r="AR85" s="9"/>
    </row>
    <row r="86" spans="1:44" s="11" customFormat="1" ht="35.25" customHeight="1" x14ac:dyDescent="0.2">
      <c r="A86" s="9"/>
      <c r="B86" s="9"/>
      <c r="C86" s="38" t="s">
        <v>2295</v>
      </c>
      <c r="D86" s="39"/>
      <c r="E86" s="214" t="s">
        <v>2296</v>
      </c>
      <c r="F86" s="215"/>
      <c r="G86" s="215"/>
      <c r="H86" s="216"/>
      <c r="I86" s="212" t="s">
        <v>2237</v>
      </c>
      <c r="J86" s="212"/>
      <c r="K86" s="212"/>
      <c r="L86" s="217" t="s">
        <v>2313</v>
      </c>
      <c r="M86" s="217"/>
      <c r="N86" s="213">
        <v>0</v>
      </c>
      <c r="O86" s="213"/>
      <c r="P86" s="213">
        <v>0</v>
      </c>
      <c r="Q86" s="213"/>
      <c r="R86" s="213"/>
      <c r="S86" s="213"/>
      <c r="T86" s="213">
        <v>0</v>
      </c>
      <c r="U86" s="213"/>
      <c r="V86" s="106">
        <v>0</v>
      </c>
      <c r="W86" s="34"/>
      <c r="AK86" s="35"/>
      <c r="AL86" s="36"/>
      <c r="AN86" s="36"/>
      <c r="AO86" s="37"/>
      <c r="AP86" s="37"/>
      <c r="AQ86" s="9"/>
      <c r="AR86" s="9"/>
    </row>
    <row r="87" spans="1:44" s="11" customFormat="1" ht="35.25" customHeight="1" x14ac:dyDescent="0.2">
      <c r="A87" s="9"/>
      <c r="B87" s="9"/>
      <c r="C87" s="38" t="s">
        <v>2297</v>
      </c>
      <c r="D87" s="39"/>
      <c r="E87" s="214" t="s">
        <v>2298</v>
      </c>
      <c r="F87" s="215"/>
      <c r="G87" s="215"/>
      <c r="H87" s="216"/>
      <c r="I87" s="212" t="s">
        <v>2235</v>
      </c>
      <c r="J87" s="212"/>
      <c r="K87" s="212"/>
      <c r="L87" s="217" t="s">
        <v>2313</v>
      </c>
      <c r="M87" s="217"/>
      <c r="N87" s="213">
        <v>0</v>
      </c>
      <c r="O87" s="213"/>
      <c r="P87" s="213">
        <v>0</v>
      </c>
      <c r="Q87" s="213"/>
      <c r="R87" s="213"/>
      <c r="S87" s="213"/>
      <c r="T87" s="213">
        <v>0</v>
      </c>
      <c r="U87" s="213"/>
      <c r="V87" s="106">
        <v>0</v>
      </c>
      <c r="W87" s="34"/>
      <c r="AK87" s="35"/>
      <c r="AL87" s="36"/>
      <c r="AN87" s="36"/>
      <c r="AO87" s="37"/>
      <c r="AP87" s="37"/>
      <c r="AQ87" s="9"/>
      <c r="AR87" s="9"/>
    </row>
    <row r="88" spans="1:44" s="11" customFormat="1" ht="35.25" customHeight="1" x14ac:dyDescent="0.2">
      <c r="A88" s="9"/>
      <c r="B88" s="9"/>
      <c r="C88" s="38" t="s">
        <v>2299</v>
      </c>
      <c r="D88" s="39"/>
      <c r="E88" s="214" t="s">
        <v>2300</v>
      </c>
      <c r="F88" s="215"/>
      <c r="G88" s="215"/>
      <c r="H88" s="216"/>
      <c r="I88" s="212" t="s">
        <v>2235</v>
      </c>
      <c r="J88" s="212"/>
      <c r="K88" s="212"/>
      <c r="L88" s="217" t="s">
        <v>2313</v>
      </c>
      <c r="M88" s="217"/>
      <c r="N88" s="213">
        <v>0</v>
      </c>
      <c r="O88" s="213"/>
      <c r="P88" s="213">
        <v>0</v>
      </c>
      <c r="Q88" s="213"/>
      <c r="R88" s="213"/>
      <c r="S88" s="213"/>
      <c r="T88" s="213">
        <v>0</v>
      </c>
      <c r="U88" s="213"/>
      <c r="V88" s="106">
        <v>0</v>
      </c>
      <c r="W88" s="145"/>
      <c r="AK88" s="35"/>
      <c r="AL88" s="36"/>
      <c r="AN88" s="36"/>
      <c r="AO88" s="37"/>
      <c r="AP88" s="37"/>
      <c r="AQ88" s="9"/>
      <c r="AR88" s="9"/>
    </row>
    <row r="89" spans="1:44" s="11" customFormat="1" ht="35.25" customHeight="1" x14ac:dyDescent="0.2">
      <c r="A89" s="9"/>
      <c r="B89" s="9"/>
      <c r="C89" s="38" t="s">
        <v>2301</v>
      </c>
      <c r="D89" s="39"/>
      <c r="E89" s="214" t="s">
        <v>2302</v>
      </c>
      <c r="F89" s="215"/>
      <c r="G89" s="215"/>
      <c r="H89" s="216"/>
      <c r="I89" s="212" t="s">
        <v>2303</v>
      </c>
      <c r="J89" s="212"/>
      <c r="K89" s="212"/>
      <c r="L89" s="217">
        <v>0.98</v>
      </c>
      <c r="M89" s="217"/>
      <c r="N89" s="213">
        <v>0</v>
      </c>
      <c r="O89" s="213"/>
      <c r="P89" s="213">
        <v>0</v>
      </c>
      <c r="Q89" s="213"/>
      <c r="R89" s="213"/>
      <c r="S89" s="213"/>
      <c r="T89" s="213">
        <v>0</v>
      </c>
      <c r="U89" s="213"/>
      <c r="V89" s="141">
        <f t="shared" si="17"/>
        <v>0.98</v>
      </c>
      <c r="W89" s="34"/>
      <c r="AK89" s="35"/>
      <c r="AL89" s="36"/>
      <c r="AN89" s="36"/>
      <c r="AO89" s="37"/>
      <c r="AP89" s="37"/>
      <c r="AQ89" s="9"/>
      <c r="AR89" s="9"/>
    </row>
    <row r="90" spans="1:44" s="11" customFormat="1" ht="35.25" customHeight="1" x14ac:dyDescent="0.2">
      <c r="A90" s="9"/>
      <c r="B90" s="9"/>
      <c r="C90" s="38" t="s">
        <v>2304</v>
      </c>
      <c r="D90" s="39"/>
      <c r="E90" s="214" t="s">
        <v>2305</v>
      </c>
      <c r="F90" s="215"/>
      <c r="G90" s="215"/>
      <c r="H90" s="216"/>
      <c r="I90" s="212" t="s">
        <v>2235</v>
      </c>
      <c r="J90" s="212"/>
      <c r="K90" s="212"/>
      <c r="L90" s="218">
        <v>1</v>
      </c>
      <c r="M90" s="218"/>
      <c r="N90" s="213">
        <v>0</v>
      </c>
      <c r="O90" s="213"/>
      <c r="P90" s="213">
        <v>0</v>
      </c>
      <c r="Q90" s="213"/>
      <c r="R90" s="213"/>
      <c r="S90" s="213"/>
      <c r="T90" s="213">
        <v>0</v>
      </c>
      <c r="U90" s="213"/>
      <c r="V90" s="141">
        <f t="shared" si="17"/>
        <v>1</v>
      </c>
      <c r="W90" s="34"/>
      <c r="AK90" s="35"/>
      <c r="AL90" s="36"/>
      <c r="AN90" s="36"/>
      <c r="AO90" s="37"/>
      <c r="AP90" s="37"/>
      <c r="AQ90" s="9"/>
      <c r="AR90" s="9"/>
    </row>
    <row r="91" spans="1:44" s="11" customFormat="1" ht="35.25" customHeight="1" x14ac:dyDescent="0.2">
      <c r="A91" s="9"/>
      <c r="B91" s="9"/>
      <c r="C91" s="38" t="s">
        <v>2306</v>
      </c>
      <c r="D91" s="39"/>
      <c r="E91" s="214" t="s">
        <v>2307</v>
      </c>
      <c r="F91" s="215"/>
      <c r="G91" s="215"/>
      <c r="H91" s="216"/>
      <c r="I91" s="212" t="s">
        <v>2308</v>
      </c>
      <c r="J91" s="212"/>
      <c r="K91" s="212"/>
      <c r="L91" s="217" t="s">
        <v>2313</v>
      </c>
      <c r="M91" s="217"/>
      <c r="N91" s="213">
        <v>0</v>
      </c>
      <c r="O91" s="213"/>
      <c r="P91" s="213">
        <v>0</v>
      </c>
      <c r="Q91" s="213"/>
      <c r="R91" s="213"/>
      <c r="S91" s="213"/>
      <c r="T91" s="213">
        <v>0</v>
      </c>
      <c r="U91" s="213"/>
      <c r="V91" s="106">
        <v>0</v>
      </c>
      <c r="W91" s="34"/>
      <c r="AK91" s="35"/>
      <c r="AL91" s="36"/>
      <c r="AN91" s="36"/>
      <c r="AO91" s="37"/>
      <c r="AP91" s="37"/>
      <c r="AQ91" s="9"/>
      <c r="AR91" s="9"/>
    </row>
    <row r="92" spans="1:44" ht="15" customHeight="1" x14ac:dyDescent="0.2">
      <c r="V92" s="40"/>
    </row>
    <row r="96" spans="1:44" ht="15" customHeight="1" x14ac:dyDescent="0.2">
      <c r="AK96" s="65"/>
    </row>
    <row r="97" spans="37:37" ht="15" customHeight="1" x14ac:dyDescent="0.2">
      <c r="AK97" s="65"/>
    </row>
  </sheetData>
  <sheetProtection selectLockedCells="1"/>
  <autoFilter ref="B11:AV91"/>
  <mergeCells count="526">
    <mergeCell ref="AN12:AN13"/>
    <mergeCell ref="X44:Z44"/>
    <mergeCell ref="AA44:AC44"/>
    <mergeCell ref="X45:Z45"/>
    <mergeCell ref="AA45:AC45"/>
    <mergeCell ref="X46:Z46"/>
    <mergeCell ref="AA46:AC46"/>
    <mergeCell ref="X39:Z39"/>
    <mergeCell ref="AA39:AC39"/>
    <mergeCell ref="X40:Z40"/>
    <mergeCell ref="AA40:AC40"/>
    <mergeCell ref="X43:Z43"/>
    <mergeCell ref="AS67:AU67"/>
    <mergeCell ref="X67:Z67"/>
    <mergeCell ref="AA67:AC67"/>
    <mergeCell ref="AD67:AF67"/>
    <mergeCell ref="AG67:AI67"/>
    <mergeCell ref="AQ66:AQ67"/>
    <mergeCell ref="AR66:AR67"/>
    <mergeCell ref="X64:Z64"/>
    <mergeCell ref="AA64:AC64"/>
    <mergeCell ref="X59:Z59"/>
    <mergeCell ref="AA59:AC59"/>
    <mergeCell ref="X60:Z60"/>
    <mergeCell ref="AA60:AC60"/>
    <mergeCell ref="X61:Z61"/>
    <mergeCell ref="AA61:AC61"/>
    <mergeCell ref="X62:Z62"/>
    <mergeCell ref="AA62:AC62"/>
    <mergeCell ref="X63:Z63"/>
    <mergeCell ref="AA63:AC63"/>
    <mergeCell ref="AL46:AL49"/>
    <mergeCell ref="AD52:AF52"/>
    <mergeCell ref="X53:Z53"/>
    <mergeCell ref="AA53:AC53"/>
    <mergeCell ref="AQ26:AQ27"/>
    <mergeCell ref="AR26:AR27"/>
    <mergeCell ref="AN26:AN27"/>
    <mergeCell ref="AQ41:AQ42"/>
    <mergeCell ref="AR41:AR42"/>
    <mergeCell ref="X31:Z31"/>
    <mergeCell ref="AA31:AC31"/>
    <mergeCell ref="X41:Z41"/>
    <mergeCell ref="AA41:AC41"/>
    <mergeCell ref="X42:Z42"/>
    <mergeCell ref="AA42:AC42"/>
    <mergeCell ref="AO41:AO42"/>
    <mergeCell ref="AP41:AP42"/>
    <mergeCell ref="AL41:AL42"/>
    <mergeCell ref="AG76:AI76"/>
    <mergeCell ref="AL71:AL72"/>
    <mergeCell ref="AM71:AM72"/>
    <mergeCell ref="AN71:AN72"/>
    <mergeCell ref="AO71:AO72"/>
    <mergeCell ref="AP71:AP72"/>
    <mergeCell ref="AQ71:AQ72"/>
    <mergeCell ref="AG73:AI73"/>
    <mergeCell ref="AD71:AF71"/>
    <mergeCell ref="AD72:AF72"/>
    <mergeCell ref="AO74:AO75"/>
    <mergeCell ref="AP74:AP75"/>
    <mergeCell ref="AG74:AI74"/>
    <mergeCell ref="AN74:AN75"/>
    <mergeCell ref="AG75:AI75"/>
    <mergeCell ref="AD73:AF73"/>
    <mergeCell ref="AD75:AF75"/>
    <mergeCell ref="X73:Z73"/>
    <mergeCell ref="AA73:AC73"/>
    <mergeCell ref="X75:Z75"/>
    <mergeCell ref="AA75:AC75"/>
    <mergeCell ref="X76:Z76"/>
    <mergeCell ref="L77:M77"/>
    <mergeCell ref="N77:O77"/>
    <mergeCell ref="P77:Q77"/>
    <mergeCell ref="R77:S77"/>
    <mergeCell ref="T77:U77"/>
    <mergeCell ref="X74:Z74"/>
    <mergeCell ref="AA74:AC74"/>
    <mergeCell ref="AD74:AF74"/>
    <mergeCell ref="AD76:AF76"/>
    <mergeCell ref="AA76:AC76"/>
    <mergeCell ref="AA52:AC52"/>
    <mergeCell ref="AD70:AF70"/>
    <mergeCell ref="AG70:AI70"/>
    <mergeCell ref="AG71:AI71"/>
    <mergeCell ref="AG72:AI72"/>
    <mergeCell ref="X65:Z65"/>
    <mergeCell ref="AA65:AC65"/>
    <mergeCell ref="X66:Z66"/>
    <mergeCell ref="AA66:AC66"/>
    <mergeCell ref="X68:Z68"/>
    <mergeCell ref="AA68:AC68"/>
    <mergeCell ref="X69:Z69"/>
    <mergeCell ref="AA69:AC69"/>
    <mergeCell ref="X70:Z70"/>
    <mergeCell ref="AA70:AC70"/>
    <mergeCell ref="X71:Z71"/>
    <mergeCell ref="AA71:AC71"/>
    <mergeCell ref="X72:Z72"/>
    <mergeCell ref="AA72:AC72"/>
    <mergeCell ref="AG53:AI53"/>
    <mergeCell ref="AD53:AF53"/>
    <mergeCell ref="AG52:AI52"/>
    <mergeCell ref="X34:Z34"/>
    <mergeCell ref="AA34:AC34"/>
    <mergeCell ref="X35:Z35"/>
    <mergeCell ref="AA35:AC35"/>
    <mergeCell ref="X36:Z36"/>
    <mergeCell ref="AA36:AC36"/>
    <mergeCell ref="X37:Z37"/>
    <mergeCell ref="AA37:AC37"/>
    <mergeCell ref="X38:Z38"/>
    <mergeCell ref="AA38:AC38"/>
    <mergeCell ref="AD69:AF69"/>
    <mergeCell ref="AL62:AL63"/>
    <mergeCell ref="X50:Z50"/>
    <mergeCell ref="AA50:AC50"/>
    <mergeCell ref="X51:Z51"/>
    <mergeCell ref="AA51:AC51"/>
    <mergeCell ref="X58:Z58"/>
    <mergeCell ref="AA58:AC58"/>
    <mergeCell ref="AA43:AC4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X52:Z52"/>
    <mergeCell ref="AD50:AF50"/>
    <mergeCell ref="AG51:AI51"/>
    <mergeCell ref="AD64:AF64"/>
    <mergeCell ref="AD65:AF65"/>
    <mergeCell ref="AG65:AI65"/>
    <mergeCell ref="AD66:AF66"/>
    <mergeCell ref="AG66:AI66"/>
    <mergeCell ref="AD68:AF68"/>
    <mergeCell ref="AG68:AI68"/>
    <mergeCell ref="AD61:AF61"/>
    <mergeCell ref="AG61:AI61"/>
    <mergeCell ref="AG55:AI55"/>
    <mergeCell ref="AG63:AI63"/>
    <mergeCell ref="AG64:AI64"/>
    <mergeCell ref="AD55:AF55"/>
    <mergeCell ref="AD63:AF63"/>
    <mergeCell ref="AD56:AF56"/>
    <mergeCell ref="AG56:AI56"/>
    <mergeCell ref="AD58:AF58"/>
    <mergeCell ref="AG58:AI58"/>
    <mergeCell ref="AD60:AF60"/>
    <mergeCell ref="AG60:AI60"/>
    <mergeCell ref="AD62:AF62"/>
    <mergeCell ref="AG62:AI62"/>
    <mergeCell ref="AM44:AM45"/>
    <mergeCell ref="AN44:AN45"/>
    <mergeCell ref="AL20:AL22"/>
    <mergeCell ref="AM20:AM22"/>
    <mergeCell ref="AN20:AN22"/>
    <mergeCell ref="AL23:AL24"/>
    <mergeCell ref="AM68:AM69"/>
    <mergeCell ref="AN68:AN69"/>
    <mergeCell ref="AM59:AM60"/>
    <mergeCell ref="AN59:AN60"/>
    <mergeCell ref="AM57:AM58"/>
    <mergeCell ref="AN57:AN58"/>
    <mergeCell ref="AM46:AM50"/>
    <mergeCell ref="AN46:AN50"/>
    <mergeCell ref="AM36:AM37"/>
    <mergeCell ref="AN36:AN37"/>
    <mergeCell ref="AM62:AM63"/>
    <mergeCell ref="AN62:AN63"/>
    <mergeCell ref="AM41:AM42"/>
    <mergeCell ref="AN41:AN42"/>
    <mergeCell ref="AM23:AM24"/>
    <mergeCell ref="AN23:AN24"/>
    <mergeCell ref="AM54:AM56"/>
    <mergeCell ref="AL68:AL69"/>
    <mergeCell ref="X25:Z25"/>
    <mergeCell ref="AA25:AC25"/>
    <mergeCell ref="X26:Z26"/>
    <mergeCell ref="AA26:AC26"/>
    <mergeCell ref="X28:Z28"/>
    <mergeCell ref="AA28:AC28"/>
    <mergeCell ref="X29:Z29"/>
    <mergeCell ref="AA29:AC29"/>
    <mergeCell ref="X30:Z30"/>
    <mergeCell ref="X27:Z27"/>
    <mergeCell ref="AA27:AC27"/>
    <mergeCell ref="X20:Z20"/>
    <mergeCell ref="AA20:AC20"/>
    <mergeCell ref="X21:Z21"/>
    <mergeCell ref="AA21:AC21"/>
    <mergeCell ref="X22:Z22"/>
    <mergeCell ref="AA22:AC22"/>
    <mergeCell ref="X23:Z23"/>
    <mergeCell ref="AA23:AC23"/>
    <mergeCell ref="X24:Z24"/>
    <mergeCell ref="AA24:AC24"/>
    <mergeCell ref="AM39:AM40"/>
    <mergeCell ref="AN39:AN40"/>
    <mergeCell ref="AD36:AF36"/>
    <mergeCell ref="AD31:AF31"/>
    <mergeCell ref="AG31:AI31"/>
    <mergeCell ref="AD32:AF32"/>
    <mergeCell ref="AG32:AI32"/>
    <mergeCell ref="AD38:AF38"/>
    <mergeCell ref="AG38:AI38"/>
    <mergeCell ref="AD33:AF33"/>
    <mergeCell ref="AM29:AM33"/>
    <mergeCell ref="E91:H91"/>
    <mergeCell ref="E20:E22"/>
    <mergeCell ref="E29:E33"/>
    <mergeCell ref="E59:E60"/>
    <mergeCell ref="E77:H77"/>
    <mergeCell ref="E78:H78"/>
    <mergeCell ref="E46:E50"/>
    <mergeCell ref="E62:E63"/>
    <mergeCell ref="E41:E42"/>
    <mergeCell ref="E36:E37"/>
    <mergeCell ref="H20:H22"/>
    <mergeCell ref="E81:H81"/>
    <mergeCell ref="E71:E72"/>
    <mergeCell ref="H23:H24"/>
    <mergeCell ref="E79:H79"/>
    <mergeCell ref="F59:F60"/>
    <mergeCell ref="L87:M87"/>
    <mergeCell ref="N87:O87"/>
    <mergeCell ref="C71:C72"/>
    <mergeCell ref="D71:D72"/>
    <mergeCell ref="N80:O80"/>
    <mergeCell ref="P80:Q80"/>
    <mergeCell ref="N81:O81"/>
    <mergeCell ref="P81:Q81"/>
    <mergeCell ref="N78:O78"/>
    <mergeCell ref="P78:Q78"/>
    <mergeCell ref="L85:M85"/>
    <mergeCell ref="N85:O85"/>
    <mergeCell ref="L84:M84"/>
    <mergeCell ref="N84:O84"/>
    <mergeCell ref="L86:M86"/>
    <mergeCell ref="N86:O86"/>
    <mergeCell ref="E80:H80"/>
    <mergeCell ref="E82:H82"/>
    <mergeCell ref="E83:H83"/>
    <mergeCell ref="E84:H84"/>
    <mergeCell ref="E85:H85"/>
    <mergeCell ref="I80:K80"/>
    <mergeCell ref="L78:M78"/>
    <mergeCell ref="L81:M81"/>
    <mergeCell ref="C57:C58"/>
    <mergeCell ref="E57:E58"/>
    <mergeCell ref="D59:D60"/>
    <mergeCell ref="D62:D63"/>
    <mergeCell ref="T78:U78"/>
    <mergeCell ref="C39:C40"/>
    <mergeCell ref="D39:D40"/>
    <mergeCell ref="C41:C42"/>
    <mergeCell ref="D41:D42"/>
    <mergeCell ref="C59:C60"/>
    <mergeCell ref="I78:K78"/>
    <mergeCell ref="E39:E40"/>
    <mergeCell ref="R78:S78"/>
    <mergeCell ref="B9:E10"/>
    <mergeCell ref="C46:C50"/>
    <mergeCell ref="C62:C63"/>
    <mergeCell ref="D29:D33"/>
    <mergeCell ref="D44:D45"/>
    <mergeCell ref="D46:D50"/>
    <mergeCell ref="D54:D56"/>
    <mergeCell ref="D57:D58"/>
    <mergeCell ref="C54:C56"/>
    <mergeCell ref="E54:E56"/>
    <mergeCell ref="C29:C33"/>
    <mergeCell ref="B11:B75"/>
    <mergeCell ref="C44:C45"/>
    <mergeCell ref="E44:E45"/>
    <mergeCell ref="E14:E15"/>
    <mergeCell ref="E16:E17"/>
    <mergeCell ref="C36:C37"/>
    <mergeCell ref="D36:D37"/>
    <mergeCell ref="C14:C15"/>
    <mergeCell ref="C20:C22"/>
    <mergeCell ref="C23:C24"/>
    <mergeCell ref="D20:D22"/>
    <mergeCell ref="D23:D24"/>
    <mergeCell ref="D14:D15"/>
    <mergeCell ref="R80:S80"/>
    <mergeCell ref="T80:U80"/>
    <mergeCell ref="R10:S10"/>
    <mergeCell ref="N10:O10"/>
    <mergeCell ref="J9:W9"/>
    <mergeCell ref="T10:U10"/>
    <mergeCell ref="P10:Q10"/>
    <mergeCell ref="L10:M10"/>
    <mergeCell ref="F9:I10"/>
    <mergeCell ref="W10:W11"/>
    <mergeCell ref="V10:V11"/>
    <mergeCell ref="J10:K10"/>
    <mergeCell ref="T79:U79"/>
    <mergeCell ref="R79:S79"/>
    <mergeCell ref="F20:F22"/>
    <mergeCell ref="F29:F33"/>
    <mergeCell ref="F23:F24"/>
    <mergeCell ref="P82:Q82"/>
    <mergeCell ref="I81:K81"/>
    <mergeCell ref="I79:K79"/>
    <mergeCell ref="L79:M79"/>
    <mergeCell ref="N79:O79"/>
    <mergeCell ref="P79:Q79"/>
    <mergeCell ref="H29:H33"/>
    <mergeCell ref="L80:M80"/>
    <mergeCell ref="R82:S82"/>
    <mergeCell ref="R81:S81"/>
    <mergeCell ref="T82:U82"/>
    <mergeCell ref="P83:Q83"/>
    <mergeCell ref="R83:S83"/>
    <mergeCell ref="P84:Q84"/>
    <mergeCell ref="R84:S84"/>
    <mergeCell ref="T83:U83"/>
    <mergeCell ref="T81:U81"/>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P88:Q88"/>
    <mergeCell ref="L89:M89"/>
    <mergeCell ref="P89:Q89"/>
    <mergeCell ref="R89:S89"/>
    <mergeCell ref="T89:U89"/>
    <mergeCell ref="L90:M90"/>
    <mergeCell ref="N90:O90"/>
    <mergeCell ref="P90:Q90"/>
    <mergeCell ref="R90:S90"/>
    <mergeCell ref="T90:U90"/>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AD51:AF51"/>
    <mergeCell ref="AD44:AF44"/>
    <mergeCell ref="AG44:AI44"/>
    <mergeCell ref="AD30:AF30"/>
    <mergeCell ref="AD43:AF43"/>
    <mergeCell ref="AD37:AF37"/>
    <mergeCell ref="H59:H60"/>
    <mergeCell ref="I77:K77"/>
    <mergeCell ref="AG36:AI36"/>
    <mergeCell ref="AD45:AF45"/>
    <mergeCell ref="AG45:AI45"/>
    <mergeCell ref="AG40:AI40"/>
    <mergeCell ref="AD46:AF46"/>
    <mergeCell ref="AG46:AI46"/>
    <mergeCell ref="AD54:AF54"/>
    <mergeCell ref="AG54:AI54"/>
    <mergeCell ref="AD57:AF57"/>
    <mergeCell ref="AG57:AI57"/>
    <mergeCell ref="AD59:AF59"/>
    <mergeCell ref="AG59:AI59"/>
    <mergeCell ref="AG30:AI30"/>
    <mergeCell ref="AG50:AI50"/>
    <mergeCell ref="AG69:AI69"/>
    <mergeCell ref="AA30:AC30"/>
    <mergeCell ref="B2:F5"/>
    <mergeCell ref="B6:F6"/>
    <mergeCell ref="B7:F7"/>
    <mergeCell ref="B8:F8"/>
    <mergeCell ref="G2:AP2"/>
    <mergeCell ref="G3:AP3"/>
    <mergeCell ref="G4:AP4"/>
    <mergeCell ref="G5:AH5"/>
    <mergeCell ref="G6:AP6"/>
    <mergeCell ref="G7:AP7"/>
    <mergeCell ref="G8:AP8"/>
    <mergeCell ref="AI5:AP5"/>
    <mergeCell ref="AD42:AF42"/>
    <mergeCell ref="AG42:AI42"/>
    <mergeCell ref="AD25:AF25"/>
    <mergeCell ref="AG25:AI25"/>
    <mergeCell ref="AD28:AF28"/>
    <mergeCell ref="AG28:AI28"/>
    <mergeCell ref="AD29:AF29"/>
    <mergeCell ref="AG29:AI29"/>
    <mergeCell ref="AG39:AI39"/>
    <mergeCell ref="AG33:AI33"/>
    <mergeCell ref="AG37:AI37"/>
    <mergeCell ref="AD40:AF40"/>
    <mergeCell ref="AD41:AF41"/>
    <mergeCell ref="AD34:AF34"/>
    <mergeCell ref="AG34:AI34"/>
    <mergeCell ref="AD35:AF35"/>
    <mergeCell ref="AG35:AI35"/>
    <mergeCell ref="AD26:AF26"/>
    <mergeCell ref="AG41:AI41"/>
    <mergeCell ref="AD39:AF39"/>
    <mergeCell ref="AG26:AI26"/>
    <mergeCell ref="AD27:AF27"/>
    <mergeCell ref="AG27:AI27"/>
    <mergeCell ref="AR12:AR13"/>
    <mergeCell ref="AQ12:AQ13"/>
    <mergeCell ref="X13:Z13"/>
    <mergeCell ref="AA13:AC13"/>
    <mergeCell ref="AD13:AF13"/>
    <mergeCell ref="AG13:AI13"/>
    <mergeCell ref="C16:C17"/>
    <mergeCell ref="D16:D17"/>
    <mergeCell ref="AD17:AF17"/>
    <mergeCell ref="AG17:AI17"/>
    <mergeCell ref="X16:Z16"/>
    <mergeCell ref="AA16:AC16"/>
    <mergeCell ref="X17:Z17"/>
    <mergeCell ref="AA17:AC17"/>
    <mergeCell ref="AG16:AI16"/>
    <mergeCell ref="AD12:AF12"/>
    <mergeCell ref="AG12:AI12"/>
    <mergeCell ref="AD14:AF14"/>
    <mergeCell ref="AG15:AI15"/>
    <mergeCell ref="F14:F15"/>
    <mergeCell ref="H14:H15"/>
    <mergeCell ref="AO12:AO13"/>
    <mergeCell ref="AP12:AP13"/>
    <mergeCell ref="AM12:AM13"/>
    <mergeCell ref="AO26:AO27"/>
    <mergeCell ref="AP26:AP27"/>
    <mergeCell ref="AG43:AI43"/>
    <mergeCell ref="AD47:AF47"/>
    <mergeCell ref="AD48:AF48"/>
    <mergeCell ref="AD49:AF49"/>
    <mergeCell ref="AO9:AR10"/>
    <mergeCell ref="AQ16:AQ17"/>
    <mergeCell ref="AR16:AR17"/>
    <mergeCell ref="AN14:AN15"/>
    <mergeCell ref="AM14:AM15"/>
    <mergeCell ref="X9:AN10"/>
    <mergeCell ref="AO16:AO17"/>
    <mergeCell ref="AP16:AP17"/>
    <mergeCell ref="AN16:AN17"/>
    <mergeCell ref="AM16:AM17"/>
    <mergeCell ref="AL16:AL17"/>
    <mergeCell ref="X12:Z12"/>
    <mergeCell ref="AA12:AC12"/>
    <mergeCell ref="X14:Z14"/>
    <mergeCell ref="AA14:AC14"/>
    <mergeCell ref="X15:Z15"/>
    <mergeCell ref="AA15:AC15"/>
    <mergeCell ref="AD16:AF16"/>
    <mergeCell ref="X32:Z32"/>
    <mergeCell ref="AA32:AC32"/>
    <mergeCell ref="X33:Z33"/>
    <mergeCell ref="AA33:AC33"/>
    <mergeCell ref="AG14:AI14"/>
    <mergeCell ref="AD15:AF15"/>
    <mergeCell ref="AG21:AI21"/>
    <mergeCell ref="X18:Z18"/>
    <mergeCell ref="AD22:AF22"/>
    <mergeCell ref="AG22:AI22"/>
    <mergeCell ref="AD20:AF20"/>
    <mergeCell ref="AG20:AI20"/>
    <mergeCell ref="AD21:AF21"/>
    <mergeCell ref="AA18:AC18"/>
    <mergeCell ref="X19:Z19"/>
    <mergeCell ref="AD18:AF18"/>
    <mergeCell ref="AG18:AI18"/>
    <mergeCell ref="AD19:AF19"/>
    <mergeCell ref="AG19:AI19"/>
    <mergeCell ref="AA19:AC19"/>
    <mergeCell ref="AG24:AI24"/>
    <mergeCell ref="AD23:AF23"/>
    <mergeCell ref="AG23:AI23"/>
    <mergeCell ref="AD24:AF24"/>
    <mergeCell ref="AR74:AR75"/>
    <mergeCell ref="AN51:AN53"/>
    <mergeCell ref="AN66:AN67"/>
    <mergeCell ref="AR46:AR49"/>
    <mergeCell ref="AO54:AO55"/>
    <mergeCell ref="AP54:AP55"/>
    <mergeCell ref="AQ54:AQ55"/>
    <mergeCell ref="AR54:AR55"/>
    <mergeCell ref="AO68:AO69"/>
    <mergeCell ref="AP68:AP69"/>
    <mergeCell ref="AQ68:AQ69"/>
    <mergeCell ref="AR68:AR69"/>
    <mergeCell ref="AN54:AN56"/>
    <mergeCell ref="AQ74:AQ75"/>
    <mergeCell ref="AR71:AR72"/>
    <mergeCell ref="AO46:AO49"/>
    <mergeCell ref="AP46:AP49"/>
    <mergeCell ref="AQ46:AQ49"/>
  </mergeCells>
  <phoneticPr fontId="4" type="noConversion"/>
  <dataValidations count="1">
    <dataValidation type="list" allowBlank="1" showInputMessage="1" showErrorMessage="1" sqref="J44:J50 J54:J67 J69:J76 J14:J42">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2021-10-29T23:41:40Z</dcterms:modified>
</cp:coreProperties>
</file>