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16350" windowHeight="10350" tabRatio="754"/>
  </bookViews>
  <sheets>
    <sheet name="Avance Metas e Indicadores" sheetId="16" r:id="rId1"/>
    <sheet name="Hoja1" sheetId="33" r:id="rId2"/>
    <sheet name="UPZ" sheetId="31" state="hidden" r:id="rId3"/>
    <sheet name="Barrios" sheetId="32" state="hidden" r:id="rId4"/>
  </sheets>
  <externalReferences>
    <externalReference r:id="rId5"/>
    <externalReference r:id="rId6"/>
    <externalReference r:id="rId7"/>
    <externalReference r:id="rId8"/>
    <externalReference r:id="rId9"/>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Indicadores'!$B$11:$AV$91</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Indicadores'!$B$2:$AP$91</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J65" i="16" l="1"/>
  <c r="AJ38" i="16"/>
  <c r="AJ50" i="16"/>
  <c r="AJ49" i="16"/>
  <c r="AD49" i="16"/>
  <c r="AA49" i="16"/>
  <c r="AJ48" i="16"/>
  <c r="AD48" i="16"/>
  <c r="AA48" i="16"/>
  <c r="V48" i="16"/>
  <c r="AJ47" i="16"/>
  <c r="AD47" i="16"/>
  <c r="AA47" i="16"/>
  <c r="AJ46" i="16"/>
  <c r="AD46" i="16"/>
  <c r="AA46" i="16"/>
  <c r="K46" i="16"/>
  <c r="AJ56" i="16"/>
  <c r="AJ61" i="16"/>
  <c r="AJ63" i="16"/>
  <c r="AJ58" i="16"/>
  <c r="AJ57" i="16"/>
  <c r="AJ18" i="16"/>
  <c r="AK18" i="16" s="1"/>
  <c r="AD18" i="16"/>
  <c r="AA18" i="16"/>
  <c r="K18" i="16"/>
  <c r="AJ25" i="16"/>
  <c r="AJ28" i="16"/>
  <c r="AJ53" i="16"/>
  <c r="AD53" i="16"/>
  <c r="AJ52" i="16"/>
  <c r="AJ51" i="16"/>
  <c r="AK51" i="16" s="1"/>
  <c r="AJ60" i="16"/>
  <c r="AJ59" i="16"/>
  <c r="W35" i="16" l="1"/>
  <c r="K33" i="16"/>
  <c r="V14" i="16"/>
  <c r="K15" i="16"/>
  <c r="AJ13" i="16"/>
  <c r="V12" i="16"/>
  <c r="V43" i="16"/>
  <c r="AJ43" i="16"/>
  <c r="AJ24" i="16"/>
  <c r="AJ23" i="16"/>
  <c r="AJ22" i="16" l="1"/>
  <c r="AJ21" i="16"/>
  <c r="AJ20" i="16"/>
  <c r="AK20" i="16" s="1"/>
  <c r="AK39" i="16"/>
  <c r="AK27" i="16"/>
  <c r="AK26" i="16"/>
  <c r="AJ75" i="16"/>
  <c r="AJ74" i="16"/>
  <c r="AK71" i="16"/>
  <c r="W19" i="16" l="1"/>
  <c r="V36" i="16"/>
  <c r="W74" i="16"/>
  <c r="V73" i="16"/>
  <c r="AK62" i="16"/>
  <c r="AJ69" i="16" l="1"/>
  <c r="AJ68" i="16"/>
  <c r="AK38" i="16"/>
  <c r="W38" i="16"/>
  <c r="V38" i="16"/>
  <c r="AJ45" i="16"/>
  <c r="AK45" i="16" s="1"/>
  <c r="V45" i="16"/>
  <c r="W45" i="16" s="1"/>
  <c r="AJ44" i="16"/>
  <c r="M44" i="16"/>
  <c r="V44" i="16" s="1"/>
  <c r="K44" i="16"/>
  <c r="AK50" i="16"/>
  <c r="V50" i="16"/>
  <c r="W50" i="16" s="1"/>
  <c r="V49" i="16"/>
  <c r="K49" i="16"/>
  <c r="W48" i="16"/>
  <c r="V47" i="16"/>
  <c r="K47" i="16"/>
  <c r="AK56" i="16"/>
  <c r="V56" i="16"/>
  <c r="W56" i="16" s="1"/>
  <c r="AJ55" i="16"/>
  <c r="AK55" i="16" s="1"/>
  <c r="V55" i="16"/>
  <c r="K55" i="16"/>
  <c r="AJ54" i="16"/>
  <c r="AK54" i="16" s="1"/>
  <c r="V54" i="16"/>
  <c r="K54" i="16"/>
  <c r="AK61" i="16"/>
  <c r="V61" i="16"/>
  <c r="W61" i="16" s="1"/>
  <c r="AK63" i="16"/>
  <c r="V63" i="16"/>
  <c r="W63" i="16" s="1"/>
  <c r="M62" i="16"/>
  <c r="V62" i="16" s="1"/>
  <c r="K62" i="16"/>
  <c r="AK58" i="16"/>
  <c r="V58" i="16"/>
  <c r="W58" i="16" s="1"/>
  <c r="AK57" i="16"/>
  <c r="V57" i="16"/>
  <c r="W57" i="16" s="1"/>
  <c r="V18" i="16"/>
  <c r="AK28" i="16"/>
  <c r="V28" i="16"/>
  <c r="W28" i="16" s="1"/>
  <c r="V53" i="16"/>
  <c r="W53" i="16" s="1"/>
  <c r="AA52" i="16"/>
  <c r="AK52" i="16" s="1"/>
  <c r="V52" i="16"/>
  <c r="K52" i="16"/>
  <c r="V51" i="16"/>
  <c r="K51" i="16"/>
  <c r="V60" i="16"/>
  <c r="W60" i="16" s="1"/>
  <c r="AK59" i="16"/>
  <c r="V59" i="16"/>
  <c r="W59" i="16" s="1"/>
  <c r="AJ35" i="16"/>
  <c r="AK35" i="16" s="1"/>
  <c r="V35" i="16"/>
  <c r="W54" i="16" l="1"/>
  <c r="W44" i="16"/>
  <c r="W49" i="16"/>
  <c r="W47" i="16"/>
  <c r="AK46" i="16"/>
  <c r="AK49" i="16"/>
  <c r="AK48" i="16"/>
  <c r="AK47" i="16"/>
  <c r="W55" i="16"/>
  <c r="W62" i="16"/>
  <c r="W18" i="16"/>
  <c r="W51" i="16"/>
  <c r="W52" i="16"/>
  <c r="AK53" i="16"/>
  <c r="AK60" i="16"/>
  <c r="AJ30" i="16"/>
  <c r="AJ31" i="16"/>
  <c r="AJ32" i="16"/>
  <c r="AJ33" i="16"/>
  <c r="AJ29" i="16"/>
  <c r="V29" i="16"/>
  <c r="V46" i="16" l="1"/>
  <c r="W46" i="16" l="1"/>
  <c r="W66" i="16"/>
  <c r="V66" i="16"/>
  <c r="AK32" i="16" l="1"/>
  <c r="AK17" i="16"/>
  <c r="AK16" i="16"/>
  <c r="AJ36" i="16" l="1"/>
  <c r="V37" i="16"/>
  <c r="AJ76" i="16" l="1"/>
  <c r="W71" i="16"/>
  <c r="AJ70" i="16" l="1"/>
  <c r="V67" i="16" l="1"/>
  <c r="AJ66" i="16" l="1"/>
  <c r="AK66" i="16" s="1"/>
  <c r="AA22" i="16" l="1"/>
  <c r="AA21" i="16"/>
  <c r="K21" i="16"/>
  <c r="AA20" i="16"/>
  <c r="AK24" i="16"/>
  <c r="K24" i="16"/>
  <c r="AK23" i="16"/>
  <c r="AK13" i="16" l="1"/>
  <c r="V13" i="16"/>
  <c r="K13" i="16"/>
  <c r="AA12" i="16"/>
  <c r="AJ12" i="16" s="1"/>
  <c r="AK12" i="16" s="1"/>
  <c r="AA15" i="16"/>
  <c r="AJ15" i="16" s="1"/>
  <c r="AJ14" i="16"/>
  <c r="AK30" i="16"/>
  <c r="AK31" i="16"/>
  <c r="AK33" i="16"/>
  <c r="AA19" i="16"/>
  <c r="AJ19" i="16" s="1"/>
  <c r="AA34" i="16"/>
  <c r="AJ34" i="16" s="1"/>
  <c r="W13" i="16" l="1"/>
  <c r="V64" i="16"/>
  <c r="V19" i="16" l="1"/>
  <c r="AK29" i="16" l="1"/>
  <c r="AK15" i="16" l="1"/>
  <c r="AK14" i="16"/>
  <c r="V15" i="16"/>
  <c r="K23" i="16"/>
  <c r="AK21" i="16"/>
  <c r="V21" i="16"/>
  <c r="W21" i="16" s="1"/>
  <c r="V20" i="16"/>
  <c r="K22" i="16"/>
  <c r="AK22" i="16" l="1"/>
  <c r="AK37" i="16"/>
  <c r="W37" i="16"/>
  <c r="V39" i="16"/>
  <c r="W27" i="16"/>
  <c r="W26" i="16"/>
  <c r="W75" i="16"/>
  <c r="V75" i="16"/>
  <c r="V74" i="16"/>
  <c r="W73" i="16"/>
  <c r="AK76" i="16"/>
  <c r="V76" i="16"/>
  <c r="V71" i="16"/>
  <c r="AK67" i="16"/>
  <c r="V34" i="16" l="1"/>
  <c r="AK34" i="16"/>
  <c r="W34" i="16"/>
  <c r="AK25" i="16"/>
  <c r="V25" i="16"/>
  <c r="AK65" i="16" l="1"/>
  <c r="V65" i="16"/>
  <c r="W42" i="16"/>
  <c r="W17" i="16"/>
  <c r="W16" i="16"/>
  <c r="V72" i="16" l="1"/>
  <c r="W72" i="16" s="1"/>
  <c r="W15" i="16" l="1"/>
  <c r="K14" i="16"/>
  <c r="W14" i="16" s="1"/>
  <c r="V23" i="16" l="1"/>
  <c r="V22" i="16"/>
  <c r="W22" i="16" s="1"/>
  <c r="AK73" i="16"/>
  <c r="W67" i="16"/>
  <c r="W25" i="16" l="1"/>
  <c r="K12" i="16"/>
  <c r="W12" i="16"/>
  <c r="AK43" i="16"/>
  <c r="V70" i="16" l="1"/>
  <c r="W70" i="16" s="1"/>
  <c r="V30" i="16"/>
  <c r="V32" i="16"/>
  <c r="V33" i="16"/>
  <c r="V24" i="16"/>
  <c r="W24" i="16" s="1"/>
  <c r="W23" i="16"/>
  <c r="W36" i="16"/>
  <c r="V27" i="16"/>
  <c r="K43" i="16"/>
  <c r="AK40" i="16"/>
  <c r="M42" i="16"/>
  <c r="K42" i="16"/>
  <c r="K41" i="16"/>
  <c r="AK36" i="16"/>
  <c r="K32" i="16"/>
  <c r="V31" i="16"/>
  <c r="K31" i="16"/>
  <c r="K30" i="16"/>
  <c r="K29" i="16"/>
  <c r="K20" i="16"/>
  <c r="AK19" i="16"/>
  <c r="M17" i="16"/>
  <c r="K17" i="16"/>
  <c r="K16" i="16"/>
  <c r="AJ64" i="16"/>
  <c r="AK64" i="16" s="1"/>
  <c r="AK70" i="16"/>
  <c r="V79" i="16"/>
  <c r="V80" i="16"/>
  <c r="V81" i="16"/>
  <c r="V82" i="16"/>
  <c r="V84" i="16"/>
  <c r="V89" i="16"/>
  <c r="V90" i="16"/>
  <c r="V78" i="16"/>
  <c r="K64" i="16"/>
  <c r="W64" i="16" s="1"/>
  <c r="K76" i="16"/>
  <c r="W76" i="16" s="1"/>
  <c r="W65" i="16"/>
  <c r="W40" i="16"/>
  <c r="W39" i="16"/>
  <c r="AJ17" i="16"/>
  <c r="AJ16" i="16"/>
  <c r="W31" i="16" l="1"/>
  <c r="W29" i="16"/>
  <c r="W20" i="16"/>
  <c r="W43" i="16"/>
  <c r="W33" i="16"/>
  <c r="W32" i="16"/>
  <c r="W30" i="16"/>
</calcChain>
</file>

<file path=xl/comments1.xml><?xml version="1.0" encoding="utf-8"?>
<comments xmlns="http://schemas.openxmlformats.org/spreadsheetml/2006/main">
  <authors>
    <author>User</author>
  </authors>
  <commentList>
    <comment ref="AK74"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AK75"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L78" authorId="0" shapeId="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L79" authorId="0" shapeId="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L80" authorId="0" shapeId="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L81" authorId="0" shapeId="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L82" authorId="0" shapeId="0">
      <text>
        <r>
          <rPr>
            <b/>
            <sz val="9"/>
            <color indexed="81"/>
            <rFont val="Tahoma"/>
            <family val="2"/>
          </rPr>
          <t>User:</t>
        </r>
        <r>
          <rPr>
            <sz val="9"/>
            <color indexed="81"/>
            <rFont val="Tahoma"/>
            <family val="2"/>
          </rPr>
          <t xml:space="preserve">
Información suministrada por la Dirección de Inteligencia para la Movilidad (DIM), 2020</t>
        </r>
      </text>
    </comment>
    <comment ref="L83" authorId="0" shapeId="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L84" authorId="0" shapeId="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L85"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N85"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L86"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N86"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L87"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N87"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N8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9" authorId="0" shapeId="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L90" authorId="0" shapeId="0">
      <text>
        <r>
          <rPr>
            <b/>
            <sz val="9"/>
            <color indexed="81"/>
            <rFont val="Tahoma"/>
            <family val="2"/>
          </rPr>
          <t>User:</t>
        </r>
        <r>
          <rPr>
            <sz val="9"/>
            <color indexed="81"/>
            <rFont val="Tahoma"/>
            <family val="2"/>
          </rPr>
          <t xml:space="preserve">
Información consolidada desde la Dirección de Planeación de la Movilidad y la OTIC.</t>
        </r>
      </text>
    </comment>
    <comment ref="N90"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91"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<sst xmlns="http://schemas.openxmlformats.org/spreadsheetml/2006/main" count="3276" uniqueCount="2593">
  <si>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</si>
  <si>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</si>
  <si>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</si>
  <si>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</si>
  <si>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</si>
  <si>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</si>
  <si>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</si>
  <si>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</si>
  <si>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</si>
  <si>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</si>
  <si>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</si>
  <si>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</si>
  <si>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</si>
  <si>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</si>
  <si>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</si>
  <si>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</si>
  <si>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</si>
  <si>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</si>
  <si>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</si>
  <si>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</si>
  <si>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</si>
  <si>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</si>
  <si>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</si>
  <si>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</si>
  <si>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</si>
  <si>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</si>
  <si>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</si>
  <si>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</si>
  <si>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</si>
  <si>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</si>
  <si>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</si>
  <si>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</si>
  <si>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</si>
  <si>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</si>
  <si>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</si>
  <si>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</si>
  <si>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</si>
  <si>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</si>
  <si>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</si>
  <si>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</si>
  <si>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</si>
  <si>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</si>
  <si>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</si>
  <si>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</si>
  <si>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</si>
  <si>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</si>
  <si>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</si>
  <si>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</si>
  <si>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</si>
  <si>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</si>
  <si>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</si>
  <si>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</si>
  <si>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</si>
  <si>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</si>
  <si>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</si>
  <si>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</si>
  <si>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</si>
  <si>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</si>
  <si>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</si>
  <si>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</si>
  <si>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</si>
  <si>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</si>
  <si>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</si>
  <si>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</si>
  <si>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</si>
  <si>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</si>
  <si>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</si>
  <si>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</si>
  <si>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</si>
  <si>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</si>
  <si>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</si>
  <si>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</si>
  <si>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</si>
  <si>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</si>
  <si>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</si>
  <si>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</si>
  <si>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</si>
  <si>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</si>
  <si>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</si>
  <si>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</si>
  <si>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</si>
  <si>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</si>
  <si>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</si>
  <si>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</si>
  <si>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</si>
  <si>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</si>
  <si>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</si>
  <si>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</si>
  <si>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</si>
  <si>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</si>
  <si>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</si>
  <si>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</si>
  <si>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</si>
  <si>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</si>
  <si>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</si>
  <si>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</si>
  <si>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</si>
  <si>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</si>
  <si>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</si>
  <si>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</si>
  <si>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</si>
  <si>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</si>
  <si>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</si>
  <si>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</si>
  <si>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</si>
  <si>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</si>
  <si>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</si>
  <si>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</si>
  <si>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</si>
  <si>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</si>
  <si>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</si>
  <si>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</si>
  <si>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</si>
  <si>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</si>
  <si>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</si>
  <si>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</si>
  <si>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</si>
  <si>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</si>
  <si>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</si>
  <si>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</si>
  <si>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</si>
  <si>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</si>
  <si>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</si>
  <si>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</si>
  <si>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</si>
  <si>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</si>
  <si>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</si>
  <si>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</si>
  <si>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</si>
  <si>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</si>
  <si>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</si>
  <si>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</si>
  <si>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</si>
  <si>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</si>
  <si>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</si>
  <si>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</si>
  <si>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</si>
  <si>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</si>
  <si>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</si>
  <si>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</si>
  <si>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</si>
  <si>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</si>
  <si>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</si>
  <si>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</si>
  <si>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</si>
  <si>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</si>
  <si>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</si>
  <si>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</si>
  <si>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</si>
  <si>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</si>
  <si>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</si>
  <si>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</si>
  <si>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</si>
  <si>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</si>
  <si>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</si>
  <si>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</si>
  <si>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</si>
  <si>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</si>
  <si>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</si>
  <si>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</si>
  <si>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</si>
  <si>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</si>
  <si>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</si>
  <si>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</si>
  <si>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</si>
  <si>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</si>
  <si>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</si>
  <si>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</si>
  <si>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</si>
  <si>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</si>
  <si>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</si>
  <si>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</si>
  <si>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</si>
  <si>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</si>
  <si>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</si>
  <si>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</si>
  <si>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</si>
  <si>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</si>
  <si>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</si>
  <si>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</si>
  <si>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</si>
  <si>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</si>
  <si>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</si>
  <si>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</si>
  <si>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</si>
  <si>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</si>
  <si>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</si>
  <si>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</si>
  <si>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</si>
  <si>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</si>
  <si>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</si>
  <si>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</si>
  <si>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</si>
  <si>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</si>
  <si>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</si>
  <si>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</si>
  <si>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</si>
  <si>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</si>
  <si>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</si>
  <si>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</si>
  <si>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</si>
  <si>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</si>
  <si>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</si>
  <si>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</si>
  <si>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</si>
  <si>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</si>
  <si>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</si>
  <si>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</si>
  <si>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</si>
  <si>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</si>
  <si>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</si>
  <si>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</si>
  <si>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</si>
  <si>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</si>
  <si>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</si>
  <si>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</si>
  <si>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</si>
  <si>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</si>
  <si>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</si>
  <si>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</si>
  <si>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</si>
  <si>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</si>
  <si>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</si>
  <si>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</si>
  <si>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</si>
  <si>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</si>
  <si>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</si>
  <si>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</si>
  <si>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</si>
  <si>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</si>
  <si>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</si>
  <si>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</si>
  <si>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</si>
  <si>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</si>
  <si>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</si>
  <si>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</si>
  <si>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</si>
  <si>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</si>
  <si>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</si>
  <si>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</si>
  <si>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</si>
  <si>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</si>
  <si>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</si>
  <si>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</si>
  <si>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</si>
  <si>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</si>
  <si>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</si>
  <si>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</si>
  <si>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</si>
  <si>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</si>
  <si>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</si>
  <si>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</si>
  <si>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</si>
  <si>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</si>
  <si>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</si>
  <si>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</si>
  <si>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</si>
  <si>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</si>
  <si>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</si>
  <si>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</si>
  <si>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</si>
  <si>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</si>
  <si>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</si>
  <si>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</si>
  <si>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</si>
  <si>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</si>
  <si>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</si>
  <si>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</si>
  <si>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</si>
  <si>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</si>
  <si>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</si>
  <si>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</si>
  <si>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</si>
  <si>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</si>
  <si>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</si>
  <si>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</si>
  <si>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</si>
  <si>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</si>
  <si>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</si>
  <si>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</si>
  <si>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</si>
  <si>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</si>
  <si>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</si>
  <si>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</si>
  <si>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</si>
  <si>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</si>
  <si>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</si>
  <si>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</si>
  <si>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</si>
  <si>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</si>
  <si>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</si>
  <si>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</si>
  <si>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</si>
  <si>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</si>
  <si>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</si>
  <si>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</si>
  <si>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</si>
  <si>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</si>
  <si>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</si>
  <si>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</si>
  <si>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</si>
  <si>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</si>
  <si>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</si>
  <si>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</si>
  <si>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</si>
  <si>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</si>
  <si>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</si>
  <si>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</si>
  <si>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</si>
  <si>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</si>
  <si>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</si>
  <si>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</si>
  <si>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</si>
  <si>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</si>
  <si>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</si>
  <si>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</si>
  <si>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</si>
  <si>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</si>
  <si>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</si>
  <si>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</si>
  <si>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</si>
  <si>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</si>
  <si>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</si>
  <si>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</si>
  <si>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</si>
  <si>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</si>
  <si>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</si>
  <si>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</si>
  <si>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</si>
  <si>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</si>
  <si>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</si>
  <si>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</si>
  <si>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</si>
  <si>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</si>
  <si>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</si>
  <si>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</si>
  <si>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</si>
  <si>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</si>
  <si>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</si>
  <si>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</si>
  <si>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</si>
  <si>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</si>
  <si>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</si>
  <si>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</si>
  <si>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</si>
  <si>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</si>
  <si>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</si>
  <si>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</si>
  <si>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</si>
  <si>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</si>
  <si>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</si>
  <si>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</si>
  <si>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</si>
  <si>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</si>
  <si>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</si>
  <si>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</si>
  <si>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</si>
  <si>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</si>
  <si>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</si>
  <si>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</si>
  <si>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</si>
  <si>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</si>
  <si>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</si>
  <si>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</si>
  <si>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</si>
  <si>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</si>
  <si>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</si>
  <si>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</si>
  <si>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</si>
  <si>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</si>
  <si>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</si>
  <si>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</si>
  <si>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</si>
  <si>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</si>
  <si>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</si>
  <si>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</si>
  <si>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</si>
  <si>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</si>
  <si>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</si>
  <si>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</si>
  <si>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</si>
  <si>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</si>
  <si>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</si>
  <si>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</si>
  <si>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</si>
  <si>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</si>
  <si>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</si>
  <si>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</si>
  <si>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</si>
  <si>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</si>
  <si>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</si>
  <si>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</si>
  <si>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</si>
  <si>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</si>
  <si>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</si>
  <si>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</si>
  <si>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</si>
  <si>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</si>
  <si>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</si>
  <si>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</si>
  <si>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</si>
  <si>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</si>
  <si>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</si>
  <si>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</si>
  <si>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</si>
  <si>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</si>
  <si>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</si>
  <si>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</si>
  <si>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</si>
  <si>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</si>
  <si>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</si>
  <si>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</si>
  <si>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</si>
  <si>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</si>
  <si>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</si>
  <si>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</si>
  <si>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</si>
  <si>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</si>
  <si>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</si>
  <si>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</si>
  <si>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</si>
  <si>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</si>
  <si>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</si>
  <si>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</si>
  <si>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</si>
  <si>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</si>
  <si>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</si>
  <si>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</si>
  <si>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</si>
  <si>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</si>
  <si>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</si>
  <si>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</si>
  <si>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</si>
  <si>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</si>
  <si>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</si>
  <si>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</si>
  <si>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</si>
  <si>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</si>
  <si>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</si>
  <si>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</si>
  <si>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</si>
  <si>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</si>
  <si>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</si>
  <si>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</si>
  <si>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</si>
  <si>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</si>
  <si>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</si>
  <si>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</si>
  <si>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</si>
  <si>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</si>
  <si>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</si>
  <si>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</si>
  <si>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</si>
  <si>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</si>
  <si>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</si>
  <si>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</si>
  <si>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</si>
  <si>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</si>
  <si>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</si>
  <si>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</si>
  <si>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</si>
  <si>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</si>
  <si>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</si>
  <si>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</si>
  <si>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</si>
  <si>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</si>
  <si>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</si>
  <si>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</si>
  <si>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</si>
  <si>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</si>
  <si>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</si>
  <si>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</si>
  <si>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</si>
  <si>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</si>
  <si>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</si>
  <si>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</si>
  <si>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</si>
  <si>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</si>
  <si>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</si>
  <si>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</si>
  <si>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</si>
  <si>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</si>
  <si>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</si>
  <si>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</si>
  <si>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</si>
  <si>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</si>
  <si>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</si>
  <si>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</si>
  <si>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</si>
  <si>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</si>
  <si>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</si>
  <si>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</si>
  <si>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</si>
  <si>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</si>
  <si>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</si>
  <si>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</si>
  <si>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</si>
  <si>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</si>
  <si>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</si>
  <si>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</si>
  <si>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</si>
  <si>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</si>
  <si>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</si>
  <si>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</si>
  <si>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</si>
  <si>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</si>
  <si>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</si>
  <si>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</si>
  <si>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</si>
  <si>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</si>
  <si>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</si>
  <si>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</si>
  <si>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</si>
  <si>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</si>
  <si>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</si>
  <si>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</si>
  <si>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</si>
  <si>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</si>
  <si>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</si>
  <si>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</si>
  <si>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</si>
  <si>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</si>
  <si>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</si>
  <si>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</si>
  <si>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</si>
  <si>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</si>
  <si>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</si>
  <si>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</si>
  <si>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</si>
  <si>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</si>
  <si>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</si>
  <si>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</si>
  <si>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</si>
  <si>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</si>
  <si>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</si>
  <si>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</si>
  <si>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</si>
  <si>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</si>
  <si>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</si>
  <si>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</si>
  <si>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</si>
  <si>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</si>
  <si>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</si>
  <si>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</si>
  <si>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</si>
  <si>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</si>
  <si>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</si>
  <si>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</si>
  <si>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</si>
  <si>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</si>
  <si>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</si>
  <si>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</si>
  <si>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</si>
  <si>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</si>
  <si>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</si>
  <si>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</si>
  <si>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</si>
  <si>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</si>
  <si>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</si>
  <si>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</si>
  <si>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</si>
  <si>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</si>
  <si>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</si>
  <si>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</si>
  <si>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</si>
  <si>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</si>
  <si>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</si>
  <si>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</si>
  <si>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</si>
  <si>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</si>
  <si>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</si>
  <si>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</si>
  <si>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</si>
  <si>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</si>
  <si>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</si>
  <si>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</si>
  <si>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</si>
  <si>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</si>
  <si>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</si>
  <si>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</si>
  <si>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</si>
  <si>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</si>
  <si>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</si>
  <si>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</si>
  <si>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</si>
  <si>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</si>
  <si>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</si>
  <si>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</si>
  <si>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</si>
  <si>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</si>
  <si>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</si>
  <si>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</si>
  <si>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</si>
  <si>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</si>
  <si>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</si>
  <si>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</si>
  <si>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</si>
  <si>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</si>
  <si>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</si>
  <si>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</si>
  <si>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</si>
  <si>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</si>
  <si>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</si>
  <si>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</si>
  <si>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</si>
  <si>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</si>
  <si>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</si>
  <si>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</si>
  <si>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</si>
  <si>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</si>
  <si>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</si>
  <si>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</si>
  <si>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</si>
  <si>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</si>
  <si>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</si>
  <si>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</si>
  <si>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</si>
  <si>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</si>
  <si>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</si>
  <si>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</si>
  <si>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</si>
  <si>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</si>
  <si>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</si>
  <si>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</si>
  <si>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</si>
  <si>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</si>
  <si>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</si>
  <si>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</si>
  <si>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</si>
  <si>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</si>
  <si>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</si>
  <si>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</si>
  <si>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</si>
  <si>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</si>
  <si>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</si>
  <si>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</si>
  <si>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</si>
  <si>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</si>
  <si>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</si>
  <si>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</si>
  <si>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</si>
  <si>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</si>
  <si>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</si>
  <si>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</si>
  <si>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</si>
  <si>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</si>
  <si>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</si>
  <si>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</si>
  <si>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</si>
  <si>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</si>
  <si>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</si>
  <si>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</si>
  <si>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</si>
  <si>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</si>
  <si>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</si>
  <si>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</si>
  <si>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</si>
  <si>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</si>
  <si>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</si>
  <si>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</si>
  <si>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</si>
  <si>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</si>
  <si>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</si>
  <si>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</si>
  <si>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</si>
  <si>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</si>
  <si>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</si>
  <si>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</si>
  <si>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</si>
  <si>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</si>
  <si>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</si>
  <si>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</si>
  <si>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</si>
  <si>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</si>
  <si>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</si>
  <si>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</si>
  <si>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</si>
  <si>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</si>
  <si>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</si>
  <si>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</si>
  <si>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</si>
  <si>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</si>
  <si>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</si>
  <si>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</si>
  <si>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</si>
  <si>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</si>
  <si>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</si>
  <si>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</si>
  <si>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</si>
  <si>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</si>
  <si>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</si>
  <si>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</si>
  <si>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</si>
  <si>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</si>
  <si>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</si>
  <si>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</si>
  <si>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</si>
  <si>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</si>
  <si>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</si>
  <si>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</si>
  <si>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</si>
  <si>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</si>
  <si>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</si>
  <si>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</si>
  <si>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</si>
  <si>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</si>
  <si>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</si>
  <si>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</si>
  <si>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</si>
  <si>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</si>
  <si>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</si>
  <si>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</si>
  <si>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</si>
  <si>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</si>
  <si>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</si>
  <si>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</si>
  <si>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</si>
  <si>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</si>
  <si>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</si>
  <si>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</si>
  <si>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</si>
  <si>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</si>
  <si>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</si>
  <si>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</si>
  <si>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</si>
  <si>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</si>
  <si>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</si>
  <si>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</si>
  <si>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</si>
  <si>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</si>
  <si>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</si>
  <si>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</si>
  <si>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</si>
  <si>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</si>
  <si>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</si>
  <si>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</si>
  <si>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</si>
  <si>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</si>
  <si>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</si>
  <si>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</si>
  <si>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</si>
  <si>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</si>
  <si>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</si>
  <si>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</si>
  <si>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</si>
  <si>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</si>
  <si>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</si>
  <si>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</si>
  <si>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</si>
  <si>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</si>
  <si>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</si>
  <si>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</si>
  <si>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</si>
  <si>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</si>
  <si>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</si>
  <si>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</si>
  <si>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</si>
  <si>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</si>
  <si>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</si>
  <si>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</si>
  <si>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</si>
  <si>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</si>
  <si>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</si>
  <si>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</si>
  <si>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</si>
  <si>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</si>
  <si>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</si>
  <si>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</si>
  <si>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</si>
  <si>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</si>
  <si>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</si>
  <si>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</si>
  <si>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</si>
  <si>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</si>
  <si>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</si>
  <si>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</si>
  <si>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</si>
  <si>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</si>
  <si>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</si>
  <si>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</si>
  <si>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</si>
  <si>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</si>
  <si>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</si>
  <si>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</si>
  <si>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</si>
  <si>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</si>
  <si>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</si>
  <si>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</si>
  <si>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</si>
  <si>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</si>
  <si>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</si>
  <si>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</si>
  <si>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</si>
  <si>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</si>
  <si>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</si>
  <si>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</si>
  <si>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</si>
  <si>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</si>
  <si>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</si>
  <si>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</si>
  <si>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</si>
  <si>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</si>
  <si>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</si>
  <si>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</si>
  <si>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</si>
  <si>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</si>
  <si>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</si>
  <si>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</si>
  <si>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</si>
  <si>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</si>
  <si>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</si>
  <si>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</si>
  <si>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</si>
  <si>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</si>
  <si>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</si>
  <si>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</si>
  <si>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</si>
  <si>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</si>
  <si>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</si>
  <si>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</si>
  <si>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</si>
  <si>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</si>
  <si>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</si>
  <si>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</si>
  <si>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</si>
  <si>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</si>
  <si>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</si>
  <si>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</si>
  <si>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</si>
  <si>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</si>
  <si>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</si>
  <si>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</si>
  <si>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</si>
  <si>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</si>
  <si>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</si>
  <si>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</si>
  <si>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</si>
  <si>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</si>
  <si>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</si>
  <si>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</si>
  <si>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</si>
  <si>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</si>
  <si>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</si>
  <si>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</si>
  <si>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</si>
  <si>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</si>
  <si>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</si>
  <si>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</si>
  <si>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</si>
  <si>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</si>
  <si>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</si>
  <si>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</si>
  <si>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</si>
  <si>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</si>
  <si>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</si>
  <si>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</si>
  <si>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</si>
  <si>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</si>
  <si>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</si>
  <si>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</si>
  <si>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</si>
  <si>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</si>
  <si>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</si>
  <si>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</si>
  <si>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</si>
  <si>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</si>
  <si>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</si>
  <si>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</si>
  <si>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</si>
  <si>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</si>
  <si>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</si>
  <si>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</si>
  <si>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</si>
  <si>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</si>
  <si>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</si>
  <si>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</si>
  <si>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</si>
  <si>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</si>
  <si>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</si>
  <si>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</si>
  <si>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</si>
  <si>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</si>
  <si>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</si>
  <si>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</si>
  <si>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</si>
  <si>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</si>
  <si>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</si>
  <si>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</si>
  <si>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</si>
  <si>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</si>
  <si>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</si>
  <si>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</si>
  <si>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</si>
  <si>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</si>
  <si>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</si>
  <si>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</si>
  <si>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</si>
  <si>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</si>
  <si>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</si>
  <si>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</si>
  <si>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</si>
  <si>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</si>
  <si>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</si>
  <si>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</si>
  <si>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</si>
  <si>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</si>
  <si>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</si>
  <si>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</si>
  <si>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</si>
  <si>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</si>
  <si>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</si>
  <si>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</si>
  <si>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</si>
  <si>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</si>
  <si>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</si>
  <si>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</si>
  <si>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</si>
  <si>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</si>
  <si>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</si>
  <si>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</si>
  <si>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</si>
  <si>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</si>
  <si>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</si>
  <si>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</si>
  <si>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</si>
  <si>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</si>
  <si>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</si>
  <si>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</si>
  <si>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</si>
  <si>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</si>
  <si>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</si>
  <si>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</si>
  <si>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</si>
  <si>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</si>
  <si>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</si>
  <si>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</si>
  <si>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</si>
  <si>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</si>
  <si>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</si>
  <si>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</si>
  <si>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</si>
  <si>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</si>
  <si>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</si>
  <si>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</si>
  <si>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</si>
  <si>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</si>
  <si>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</si>
  <si>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</si>
  <si>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</si>
  <si>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</si>
  <si>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</si>
  <si>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</si>
  <si>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</si>
  <si>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</si>
  <si>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</si>
  <si>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</si>
  <si>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</si>
  <si>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</si>
  <si>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</si>
  <si>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</si>
  <si>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</si>
  <si>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</si>
  <si>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</si>
  <si>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</si>
  <si>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</si>
  <si>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</si>
  <si>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</si>
  <si>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</si>
  <si>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</si>
  <si>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</si>
  <si>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</si>
  <si>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</si>
  <si>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</si>
  <si>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</si>
  <si>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</si>
  <si>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</si>
  <si>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</si>
  <si>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</si>
  <si>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</si>
  <si>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</si>
  <si>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</si>
  <si>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</si>
  <si>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</si>
  <si>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</si>
  <si>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</si>
  <si>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</si>
  <si>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</si>
  <si>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</si>
  <si>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</si>
  <si>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</si>
  <si>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</si>
  <si>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</si>
  <si>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</si>
  <si>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</si>
  <si>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</si>
  <si>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</si>
  <si>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</si>
  <si>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</si>
  <si>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</si>
  <si>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</si>
  <si>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</si>
  <si>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</si>
  <si>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</si>
  <si>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</si>
  <si>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</si>
  <si>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</si>
  <si>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</si>
  <si>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</si>
  <si>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</si>
  <si>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</si>
  <si>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</si>
  <si>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</si>
  <si>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</si>
  <si>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</si>
  <si>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</si>
  <si>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</si>
  <si>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</si>
  <si>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</si>
  <si>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</si>
  <si>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</si>
  <si>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</si>
  <si>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</si>
  <si>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</si>
  <si>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</si>
  <si>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</si>
  <si>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</si>
  <si>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</si>
  <si>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</si>
  <si>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</si>
  <si>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</si>
  <si>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</si>
  <si>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</si>
  <si>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</si>
  <si>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</si>
  <si>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</si>
  <si>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</si>
  <si>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</si>
  <si>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</si>
  <si>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</si>
  <si>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</si>
  <si>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</si>
  <si>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</si>
  <si>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</si>
  <si>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</si>
  <si>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</si>
  <si>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</si>
  <si>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</si>
  <si>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</si>
  <si>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</si>
  <si>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</si>
  <si>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</si>
  <si>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</si>
  <si>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</si>
  <si>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</si>
  <si>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</si>
  <si>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</si>
  <si>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</si>
  <si>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</si>
  <si>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</si>
  <si>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</si>
  <si>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</si>
  <si>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</si>
  <si>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</si>
  <si>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</si>
  <si>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</si>
  <si>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</si>
  <si>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</si>
  <si>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</si>
  <si>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</si>
  <si>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</si>
  <si>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</si>
  <si>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</si>
  <si>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</si>
  <si>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</si>
  <si>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</si>
  <si>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</si>
  <si>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</si>
  <si>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</si>
  <si>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</si>
  <si>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</si>
  <si>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</si>
  <si>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</si>
  <si>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</si>
  <si>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</si>
  <si>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</si>
  <si>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</si>
  <si>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</si>
  <si>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</si>
  <si>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</si>
  <si>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</si>
  <si>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</si>
  <si>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</si>
  <si>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</si>
  <si>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</si>
  <si>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</si>
  <si>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</si>
  <si>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</si>
  <si>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</si>
  <si>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</si>
  <si>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</si>
  <si>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</si>
  <si>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</si>
  <si>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</si>
  <si>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</si>
  <si>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</si>
  <si>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</si>
  <si>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</si>
  <si>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</si>
  <si>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</si>
  <si>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</si>
  <si>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</si>
  <si>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</si>
  <si>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</si>
  <si>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</si>
  <si>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</si>
  <si>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</si>
  <si>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</si>
  <si>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</si>
  <si>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</si>
  <si>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</si>
  <si>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</si>
  <si>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</si>
  <si>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</si>
  <si>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</si>
  <si>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</si>
  <si>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</si>
  <si>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</si>
  <si>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</si>
  <si>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</si>
  <si>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</si>
  <si>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</si>
  <si>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</si>
  <si>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</si>
  <si>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</si>
  <si>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</si>
  <si>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</si>
  <si>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</si>
  <si>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</si>
  <si>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</si>
  <si>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</si>
  <si>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</si>
  <si>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</si>
  <si>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</si>
  <si>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</si>
  <si>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</si>
  <si>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</si>
  <si>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</si>
  <si>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</si>
  <si>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</si>
  <si>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</si>
  <si>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</si>
  <si>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</si>
  <si>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</si>
  <si>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</si>
  <si>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</si>
  <si>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</si>
  <si>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</si>
  <si>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</si>
  <si>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</si>
  <si>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</si>
  <si>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</si>
  <si>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</si>
  <si>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</si>
  <si>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</si>
  <si>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</si>
  <si>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</si>
  <si>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</si>
  <si>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</si>
  <si>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</si>
  <si>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</si>
  <si>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</si>
  <si>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</si>
  <si>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</si>
  <si>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</si>
  <si>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</si>
  <si>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</si>
  <si>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</si>
  <si>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</si>
  <si>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</si>
  <si>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</si>
  <si>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</si>
  <si>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</si>
  <si>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</si>
  <si>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</si>
  <si>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</si>
  <si>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</si>
  <si>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</si>
  <si>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</si>
  <si>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</si>
  <si>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</si>
  <si>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</si>
  <si>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</si>
  <si>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</si>
  <si>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</si>
  <si>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</si>
  <si>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</si>
  <si>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</si>
  <si>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</si>
  <si>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</si>
  <si>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</si>
  <si>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</si>
  <si>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</si>
  <si>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</si>
  <si>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</si>
  <si>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</si>
  <si>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</si>
  <si>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</si>
  <si>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</si>
  <si>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</si>
  <si>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</si>
  <si>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</si>
  <si>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</si>
  <si>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</si>
  <si>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</si>
  <si>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</si>
  <si>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</si>
  <si>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</si>
  <si>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</si>
  <si>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</si>
  <si>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</si>
  <si>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</si>
  <si>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</si>
  <si>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</si>
  <si>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</si>
  <si>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</si>
  <si>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</si>
  <si>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</si>
  <si>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</si>
  <si>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</si>
  <si>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</si>
  <si>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</si>
  <si>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</si>
  <si>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</si>
  <si>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</si>
  <si>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</si>
  <si>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</si>
  <si>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</si>
  <si>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</si>
  <si>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</si>
  <si>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</si>
  <si>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</si>
  <si>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</si>
  <si>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</si>
  <si>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</si>
  <si>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</si>
  <si>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</si>
  <si>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</si>
  <si>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</si>
  <si>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</si>
  <si>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</si>
  <si>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</si>
  <si>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</si>
  <si>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</si>
  <si>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</si>
  <si>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</si>
  <si>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</si>
  <si>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</si>
  <si>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</si>
  <si>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</si>
  <si>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</si>
  <si>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</si>
  <si>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</si>
  <si>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</si>
  <si>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</si>
  <si>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</si>
  <si>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</si>
  <si>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</si>
  <si>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</si>
  <si>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</si>
  <si>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</si>
  <si>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</si>
  <si>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</si>
  <si>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</si>
  <si>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</si>
  <si>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</si>
  <si>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</si>
  <si>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</si>
  <si>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</si>
  <si>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</si>
  <si>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</si>
  <si>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</si>
  <si>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</si>
  <si>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</si>
  <si>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</si>
  <si>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</si>
  <si>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</si>
  <si>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</si>
  <si>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</si>
  <si>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</si>
  <si>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</si>
  <si>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</si>
  <si>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</si>
  <si>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</si>
  <si>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</si>
  <si>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</si>
  <si>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</si>
  <si>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</si>
  <si>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</si>
  <si>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</si>
  <si>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</si>
  <si>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</si>
  <si>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</si>
  <si>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</si>
  <si>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</si>
  <si>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</si>
  <si>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</si>
  <si>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</si>
  <si>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</si>
  <si>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</si>
  <si>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</si>
  <si>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</si>
  <si>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</si>
  <si>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</si>
  <si>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</si>
  <si>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</si>
  <si>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</si>
  <si>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</si>
  <si>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</si>
  <si>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</si>
  <si>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</si>
  <si>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</si>
  <si>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</si>
  <si>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</si>
  <si>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</si>
  <si>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</si>
  <si>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</si>
  <si>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</si>
  <si>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</si>
  <si>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</si>
  <si>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</si>
  <si>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</si>
  <si>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</si>
  <si>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</si>
  <si>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</si>
  <si>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</si>
  <si>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</si>
  <si>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</si>
  <si>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</si>
  <si>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</si>
  <si>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</si>
  <si>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</si>
  <si>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</si>
  <si>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</si>
  <si>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</si>
  <si>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</si>
  <si>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</si>
  <si>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</si>
  <si>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</si>
  <si>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</si>
  <si>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</si>
  <si>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</si>
  <si>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</si>
  <si>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</si>
  <si>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</si>
  <si>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</si>
  <si>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</si>
  <si>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</si>
  <si>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</si>
  <si>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</si>
  <si>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</si>
  <si>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</si>
  <si>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</si>
  <si>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</si>
  <si>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</si>
  <si>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</si>
  <si>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</si>
  <si>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</si>
  <si>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</si>
  <si>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</si>
  <si>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</si>
  <si>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</si>
  <si>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</si>
  <si>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</si>
  <si>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</si>
  <si>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</si>
  <si>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</si>
  <si>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</si>
  <si>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</si>
  <si>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</si>
  <si>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</si>
  <si>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</si>
  <si>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</si>
  <si>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</si>
  <si>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</si>
  <si>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</si>
  <si>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</si>
  <si>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</si>
  <si>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</si>
  <si>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</si>
  <si>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</si>
  <si>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</si>
  <si>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</si>
  <si>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</si>
  <si>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</si>
  <si>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</si>
  <si>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</si>
  <si>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</si>
  <si>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</si>
  <si>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</si>
  <si>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</si>
  <si>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</si>
  <si>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</si>
  <si>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</si>
  <si>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</si>
  <si>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</si>
  <si>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</si>
  <si>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</si>
  <si>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</si>
  <si>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</si>
  <si>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</si>
  <si>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</si>
  <si>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</si>
  <si>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</si>
  <si>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</si>
  <si>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</si>
  <si>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</si>
  <si>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</si>
  <si>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</si>
  <si>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</si>
  <si>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</si>
  <si>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</si>
  <si>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</si>
  <si>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</si>
  <si>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</si>
  <si>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</si>
  <si>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</si>
  <si>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</si>
  <si>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</si>
  <si>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</si>
  <si>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</si>
  <si>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</si>
  <si>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</si>
  <si>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</si>
  <si>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</si>
  <si>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</si>
  <si>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</si>
  <si>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</si>
  <si>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</si>
  <si>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</si>
  <si>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</si>
  <si>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</si>
  <si>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</si>
  <si>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</si>
  <si>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</si>
  <si>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</si>
  <si>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</si>
  <si>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</si>
  <si>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</si>
  <si>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</si>
  <si>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</si>
  <si>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</si>
  <si>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</si>
  <si>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</si>
  <si>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</si>
  <si>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</si>
  <si>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</si>
  <si>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</si>
  <si>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</si>
  <si>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</si>
  <si>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</si>
  <si>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</si>
  <si>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</si>
  <si>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</si>
  <si>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</si>
  <si>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</si>
  <si>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</si>
  <si>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</si>
  <si>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</si>
  <si>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</si>
  <si>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</si>
  <si>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</si>
  <si>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</si>
  <si>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</si>
  <si>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</si>
  <si>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</si>
  <si>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</si>
  <si>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</si>
  <si>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</si>
  <si>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</si>
  <si>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</si>
  <si>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</si>
  <si>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</si>
  <si>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</si>
  <si>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</si>
  <si>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</si>
  <si>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</si>
  <si>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</si>
  <si>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</si>
  <si>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</si>
  <si>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</si>
  <si>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</si>
  <si>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</si>
  <si>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</si>
  <si>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</si>
  <si>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</si>
  <si>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</si>
  <si>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</si>
  <si>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</si>
  <si>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</si>
  <si>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</si>
  <si>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</si>
  <si>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</si>
  <si>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</si>
  <si>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</si>
  <si>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</si>
  <si>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</si>
  <si>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</si>
  <si>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</si>
  <si>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</si>
  <si>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</si>
  <si>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</si>
  <si>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</si>
  <si>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</si>
  <si>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</si>
  <si>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</si>
  <si>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</si>
  <si>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</si>
  <si>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</si>
  <si>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</si>
  <si>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</si>
  <si>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</si>
  <si>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</si>
  <si>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</si>
  <si>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</si>
  <si>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</si>
  <si>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</si>
  <si>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</si>
  <si>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</si>
  <si>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</si>
  <si>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</si>
  <si>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</si>
  <si>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</si>
  <si>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</si>
  <si>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</si>
  <si>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</si>
  <si>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</si>
  <si>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</si>
  <si>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</si>
  <si>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</si>
  <si>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</si>
  <si>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</si>
  <si>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</si>
  <si>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</si>
  <si>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</si>
  <si>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</si>
  <si>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</si>
  <si>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</si>
  <si>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</si>
  <si>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</si>
  <si>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</si>
  <si>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</si>
  <si>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</si>
  <si>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</si>
  <si>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</si>
  <si>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</si>
  <si>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</si>
  <si>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</si>
  <si>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</si>
  <si>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</si>
  <si>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</si>
  <si>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</si>
  <si>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</si>
  <si>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</si>
  <si>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</si>
  <si>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</si>
  <si>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</si>
  <si>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</si>
  <si>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</si>
  <si>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</si>
  <si>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</si>
  <si>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</si>
  <si>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</si>
  <si>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</si>
  <si>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</si>
  <si>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</si>
  <si>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</si>
  <si>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</si>
  <si>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</si>
  <si>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</si>
  <si>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</si>
  <si>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</si>
  <si>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</si>
  <si>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</si>
  <si>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</si>
  <si>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</si>
  <si>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</si>
  <si>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</si>
  <si>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</si>
  <si>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</si>
  <si>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</si>
  <si>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</si>
  <si>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</si>
  <si>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</si>
  <si>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</si>
  <si>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</si>
  <si>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</si>
  <si>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</si>
  <si>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</si>
  <si>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</si>
  <si>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</si>
  <si>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</si>
  <si>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</si>
  <si>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</si>
  <si>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</si>
  <si>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</si>
  <si>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</si>
  <si>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</si>
  <si>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</si>
  <si>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</si>
  <si>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</si>
  <si>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</si>
  <si>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</si>
  <si>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</si>
  <si>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</si>
  <si>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</si>
  <si>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</si>
  <si>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</si>
  <si>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</si>
  <si>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</si>
  <si>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</si>
  <si>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</si>
  <si>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</si>
  <si>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</si>
  <si>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</si>
  <si>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</si>
  <si>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</si>
  <si>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</si>
  <si>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</si>
  <si>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</si>
  <si>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</si>
  <si>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</si>
  <si>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</si>
  <si>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</si>
  <si>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</si>
  <si>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</si>
  <si>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</si>
  <si>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</si>
  <si>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</si>
  <si>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</si>
  <si>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</si>
  <si>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</si>
  <si>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</si>
  <si>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</si>
  <si>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</si>
  <si>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</si>
  <si>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</si>
  <si>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</si>
  <si>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</si>
  <si>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</si>
  <si>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</si>
  <si>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</si>
  <si>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</si>
  <si>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</si>
  <si>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</si>
  <si>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</si>
  <si>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</si>
  <si>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</si>
  <si>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</si>
  <si>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</si>
  <si>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</si>
  <si>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</si>
  <si>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</si>
  <si>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</si>
  <si>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</si>
  <si>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</si>
  <si>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</si>
  <si>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</si>
  <si>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</si>
  <si>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</si>
  <si>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</si>
  <si>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</si>
  <si>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</si>
  <si>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</si>
  <si>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</si>
  <si>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</si>
  <si>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</si>
  <si>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</si>
  <si>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</si>
  <si>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</si>
  <si>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</si>
  <si>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</si>
  <si>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</si>
  <si>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</si>
  <si>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</si>
  <si>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</si>
  <si>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</si>
  <si>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</si>
  <si>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</si>
  <si>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</si>
  <si>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</si>
  <si>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</si>
  <si>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</si>
  <si>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</si>
  <si>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</si>
  <si>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</si>
  <si>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</si>
  <si>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</si>
  <si>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</si>
  <si>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</si>
  <si>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</si>
  <si>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</si>
  <si>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</si>
  <si>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</si>
  <si>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</si>
  <si>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</si>
  <si>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</si>
  <si>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</si>
  <si>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</si>
  <si>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</si>
  <si>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</si>
  <si>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</si>
  <si>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</si>
  <si>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</si>
  <si>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</si>
  <si>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</si>
  <si>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</si>
  <si>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</si>
  <si>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</si>
  <si>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</si>
  <si>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</si>
  <si>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</si>
  <si>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</si>
  <si>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</si>
  <si>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</si>
  <si>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</si>
  <si>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</si>
  <si>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</si>
  <si>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</si>
  <si>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</si>
  <si>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</si>
  <si>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</si>
  <si>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</si>
  <si>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</si>
  <si>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</si>
  <si>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</si>
  <si>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</si>
  <si>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</si>
  <si>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</si>
  <si>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</si>
  <si>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</si>
  <si>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</si>
  <si>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</si>
  <si>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</si>
  <si>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</si>
  <si>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</si>
  <si>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</si>
  <si>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</si>
  <si>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</si>
  <si>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</si>
  <si>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</si>
  <si>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</si>
  <si>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</si>
  <si>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</si>
  <si>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</si>
  <si>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</si>
  <si>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</si>
  <si>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</si>
  <si>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</si>
  <si>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</si>
  <si>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</si>
  <si>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</si>
  <si>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</si>
  <si>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</si>
  <si>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</si>
  <si>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</si>
  <si>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</si>
  <si>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</si>
  <si>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</si>
  <si>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</si>
  <si>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</si>
  <si>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</si>
  <si>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</si>
  <si>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</si>
  <si>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</si>
  <si>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</si>
  <si>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</si>
  <si>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</si>
  <si>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</si>
  <si>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</si>
  <si>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</si>
  <si>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</si>
  <si>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</si>
  <si>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</si>
  <si>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</si>
  <si>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</si>
  <si>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</si>
  <si>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</si>
  <si>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</si>
  <si>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</si>
  <si>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</si>
  <si>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</si>
  <si>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</si>
  <si>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</si>
  <si>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</si>
  <si>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</si>
  <si>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</si>
  <si>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</si>
  <si>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</si>
  <si>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</si>
  <si>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</si>
  <si>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</si>
  <si>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</si>
  <si>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</si>
  <si>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</si>
  <si>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</si>
  <si>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</si>
  <si>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</si>
  <si>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</si>
  <si>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</si>
  <si>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</si>
  <si>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</si>
  <si>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</si>
  <si>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</si>
  <si>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</si>
  <si>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</si>
  <si>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</si>
  <si>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</si>
  <si>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</si>
  <si>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</si>
  <si>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</si>
  <si>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</si>
  <si>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</si>
  <si>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</si>
  <si>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</si>
  <si>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</si>
  <si>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</si>
  <si>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</si>
  <si>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</si>
  <si>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</si>
  <si>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</si>
  <si>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</si>
  <si>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</si>
  <si>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</si>
  <si>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</si>
  <si>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</si>
  <si>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</si>
  <si>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</si>
  <si>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</si>
  <si>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</si>
  <si>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</si>
  <si>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</si>
  <si>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</si>
  <si>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</si>
  <si>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</si>
  <si>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</si>
  <si>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</si>
  <si>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</si>
  <si>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</si>
  <si>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</si>
  <si>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</si>
  <si>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</si>
  <si>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</si>
  <si>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</si>
  <si>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</si>
  <si>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</si>
  <si>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</si>
  <si>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</si>
  <si>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</si>
  <si>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</si>
  <si>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</si>
  <si>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</si>
  <si>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</si>
  <si>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</si>
  <si>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</si>
  <si>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</si>
  <si>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</si>
  <si>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</si>
  <si>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</si>
  <si>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</si>
  <si>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</si>
  <si>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</si>
  <si>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</si>
  <si>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</si>
  <si>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</si>
  <si>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</si>
  <si>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</si>
  <si>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</si>
  <si>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</si>
  <si>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</si>
  <si>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</si>
  <si>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</si>
  <si>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</si>
  <si>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</si>
  <si>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</si>
  <si>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</si>
  <si>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</si>
  <si>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</si>
  <si>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</si>
  <si>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</si>
  <si>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</si>
  <si>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</si>
  <si>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</si>
  <si>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</si>
  <si>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</si>
  <si>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</si>
  <si>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</si>
  <si>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</si>
  <si>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</si>
  <si>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</si>
  <si>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</si>
  <si>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</si>
  <si>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</si>
  <si>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</si>
  <si>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</si>
  <si>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</si>
  <si>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</si>
  <si>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</si>
  <si>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</si>
  <si>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</si>
  <si>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</si>
  <si>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</si>
  <si>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</si>
  <si>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</si>
  <si>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</si>
  <si>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</si>
  <si>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</si>
  <si>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</si>
  <si>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</si>
  <si>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</si>
  <si>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</si>
  <si>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</si>
  <si>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</si>
  <si>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</si>
  <si>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</si>
  <si>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</si>
  <si>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</si>
  <si>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</si>
  <si>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</si>
  <si>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</si>
  <si>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</si>
  <si>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</si>
  <si>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</si>
  <si>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</si>
  <si>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</si>
  <si>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</si>
  <si>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</si>
  <si>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</si>
  <si>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</si>
  <si>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</si>
  <si>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</si>
  <si>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</si>
  <si>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</si>
  <si>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</si>
  <si>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</si>
  <si>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</si>
  <si>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</si>
  <si>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</si>
  <si>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</si>
  <si>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</si>
  <si>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</si>
  <si>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</si>
  <si>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</si>
  <si>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</si>
  <si>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</si>
  <si>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</si>
  <si>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</si>
  <si>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</si>
  <si>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</si>
  <si>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</si>
  <si>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</si>
  <si>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</si>
  <si>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</si>
  <si>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</si>
  <si>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</si>
  <si>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</si>
  <si>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</si>
  <si>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</si>
  <si>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</si>
  <si>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</si>
  <si>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</si>
  <si>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</si>
  <si>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</si>
  <si>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</si>
  <si>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</si>
  <si>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</si>
  <si>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</si>
  <si>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</si>
  <si>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</si>
  <si>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</si>
  <si>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</si>
  <si>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</si>
  <si>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</si>
  <si>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</si>
  <si>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</si>
  <si>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</si>
  <si>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</si>
  <si>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</si>
  <si>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</si>
  <si>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</si>
  <si>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</si>
  <si>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</si>
  <si>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</si>
  <si>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</si>
  <si>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</si>
  <si>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</si>
  <si>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</si>
  <si>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</si>
  <si>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</si>
  <si>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</si>
  <si>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</si>
  <si>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</si>
  <si>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</si>
  <si>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</si>
  <si>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</si>
  <si>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</si>
  <si>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</si>
  <si>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</si>
  <si>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</si>
  <si>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</si>
  <si>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</si>
  <si>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</si>
  <si>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</si>
  <si>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</si>
  <si>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</si>
  <si>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</si>
  <si>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</si>
  <si>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</si>
  <si>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</si>
  <si>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</si>
  <si>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</si>
  <si>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</si>
  <si>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</si>
  <si>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</si>
  <si>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</si>
  <si>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</si>
  <si>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</si>
  <si>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</si>
  <si>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</si>
  <si>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</si>
  <si>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</si>
  <si>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</si>
  <si>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</si>
  <si>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</si>
  <si>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</si>
  <si>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</si>
  <si>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</si>
  <si>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</si>
  <si>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</si>
  <si>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</si>
  <si>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</si>
  <si>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</si>
  <si>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</si>
  <si>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</si>
  <si>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</si>
  <si>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</si>
  <si>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</si>
  <si>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</si>
  <si>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</si>
  <si>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</si>
  <si>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</si>
  <si>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</si>
  <si>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</si>
  <si>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</si>
  <si>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</si>
  <si>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</si>
  <si>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</si>
  <si>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</si>
  <si>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</si>
  <si>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</si>
  <si>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</si>
  <si>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</si>
  <si>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</si>
  <si>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</si>
  <si>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</si>
  <si>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</si>
  <si>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</si>
  <si>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</si>
  <si>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</si>
  <si>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</si>
  <si>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</si>
  <si>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</si>
  <si>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</si>
  <si>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</si>
  <si>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</si>
  <si>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</si>
  <si>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</si>
  <si>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</si>
  <si>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</si>
  <si>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</si>
  <si>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</si>
  <si>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</si>
  <si>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</si>
  <si>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</si>
  <si>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</si>
  <si>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</si>
  <si>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</si>
  <si>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</si>
  <si>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</si>
  <si>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</si>
  <si>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</si>
  <si>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</si>
  <si>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</si>
  <si>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</si>
  <si>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</si>
  <si>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</si>
  <si>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</si>
  <si>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</si>
  <si>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</si>
  <si>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</si>
  <si>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</si>
  <si>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</si>
  <si>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</si>
  <si>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</si>
  <si>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</si>
  <si>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</si>
  <si>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</si>
  <si>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</si>
  <si>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</si>
  <si>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</si>
  <si>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</si>
  <si>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</si>
  <si>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</si>
  <si>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</si>
  <si>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</si>
  <si>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</si>
  <si>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</si>
  <si>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</si>
  <si>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</si>
  <si>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</si>
  <si>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</si>
  <si>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</si>
  <si>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</si>
  <si>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</si>
  <si>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</si>
  <si>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</si>
  <si>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</si>
  <si>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</si>
  <si>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</si>
  <si>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</si>
  <si>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</si>
  <si>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</si>
  <si>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</si>
  <si>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</si>
  <si>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</si>
  <si>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</si>
  <si>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</si>
  <si>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</si>
  <si>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</si>
  <si>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</si>
  <si>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</si>
  <si>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</si>
  <si>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</si>
  <si>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</si>
  <si>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</si>
  <si>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</si>
  <si>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</si>
  <si>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</si>
  <si>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</si>
  <si>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</si>
  <si>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</si>
  <si>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</si>
  <si>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</si>
  <si>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</si>
  <si>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</si>
  <si>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</si>
  <si>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</si>
  <si>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</si>
  <si>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</si>
  <si>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</si>
  <si>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</si>
  <si>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</si>
  <si>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</si>
  <si>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</si>
  <si>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</si>
  <si>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</si>
  <si>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</si>
  <si>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</si>
  <si>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</si>
  <si>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</si>
  <si>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</si>
  <si>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</si>
  <si>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</si>
  <si>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</si>
  <si>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</si>
  <si>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</si>
  <si>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</si>
  <si>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</si>
  <si>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</si>
  <si>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</si>
  <si>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</si>
  <si>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</si>
  <si>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</si>
  <si>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</si>
  <si>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</si>
  <si>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</si>
  <si>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</si>
  <si>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</si>
  <si>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</si>
  <si>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</si>
  <si>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</si>
  <si>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</si>
  <si>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</si>
  <si>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</si>
  <si>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</si>
  <si>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</si>
  <si>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</si>
  <si>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</si>
  <si>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</si>
  <si>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</si>
  <si>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</si>
  <si>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</si>
  <si>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</si>
  <si>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</si>
  <si>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</si>
  <si>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</si>
  <si>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</si>
  <si>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</si>
  <si>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</si>
  <si>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</si>
  <si>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</si>
  <si>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</si>
  <si>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</si>
  <si>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</si>
  <si>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</si>
  <si>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</si>
  <si>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</si>
  <si>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</si>
  <si>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</si>
  <si>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</si>
  <si>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</si>
  <si>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</si>
  <si>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</si>
  <si>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</si>
  <si>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</si>
  <si>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</si>
  <si>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</si>
  <si>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</si>
  <si>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</si>
  <si>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</si>
  <si>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</si>
  <si>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</si>
  <si>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</si>
  <si>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</si>
  <si>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</si>
  <si>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</si>
  <si>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</si>
  <si>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</si>
  <si>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</si>
  <si>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</si>
  <si>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</si>
  <si>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</si>
  <si>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</si>
  <si>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</si>
  <si>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</si>
  <si>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</si>
  <si>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</si>
  <si>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</si>
  <si>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</si>
  <si>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</si>
  <si>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</si>
  <si>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</si>
  <si>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</si>
  <si>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</si>
  <si>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</si>
  <si>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</si>
  <si>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</si>
  <si>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</si>
  <si>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</si>
  <si>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</si>
  <si>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</si>
  <si>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</si>
  <si>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</si>
  <si>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</si>
  <si>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Programa</t>
  </si>
  <si>
    <t>Avances y Logros</t>
  </si>
  <si>
    <t>Beneficios</t>
  </si>
  <si>
    <t>Total Vigencia</t>
  </si>
  <si>
    <t>Retrasos y soluciones</t>
  </si>
  <si>
    <t>Fecha de seguimiento</t>
  </si>
  <si>
    <t>IDU</t>
  </si>
  <si>
    <t>UAERMV</t>
  </si>
  <si>
    <t>Transporte Público</t>
  </si>
  <si>
    <t xml:space="preserve">Infraestructura Vial </t>
  </si>
  <si>
    <t>Plan de Seguridad Vial</t>
  </si>
  <si>
    <t xml:space="preserve">Componente </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</si>
  <si>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</si>
  <si>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</si>
  <si>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</si>
  <si>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</si>
  <si>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</si>
  <si>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</si>
  <si>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</si>
  <si>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</si>
  <si>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</si>
  <si>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</si>
  <si>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</si>
  <si>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</si>
  <si>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</si>
  <si>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</si>
  <si>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</si>
  <si>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</si>
  <si>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</si>
  <si>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</si>
  <si>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</si>
  <si>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</si>
  <si>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</si>
  <si>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</si>
  <si>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</si>
  <si>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</si>
  <si>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</si>
  <si>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</si>
  <si>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</si>
  <si>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</si>
  <si>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</si>
  <si>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</si>
  <si>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</si>
  <si>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</si>
  <si>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</si>
  <si>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</si>
  <si>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PROCESO DE PLANEACIÓN DE TRANSPORTE E INFRAESTRUCTURA</t>
  </si>
  <si>
    <t>Código: PM01-PR05-F01</t>
  </si>
  <si>
    <t>SISTEMA INTEGRADO DE GESTIÓN BAJO EL ESTÁNDAR MIPG</t>
  </si>
  <si>
    <t>Pendiente</t>
  </si>
  <si>
    <t>Meta Plan de Desarrollo</t>
  </si>
  <si>
    <t>Nombre y Código del Indicador Meta PDD</t>
  </si>
  <si>
    <t>2020-2024</t>
  </si>
  <si>
    <t>374  aumentar en 20% la oferta de tansporte público del SITP</t>
  </si>
  <si>
    <t>Buses/sillas del SITP</t>
  </si>
  <si>
    <t>401_Buses/sillas del SITP</t>
  </si>
  <si>
    <t>402_ Puntos poncentuales la confiabilidad del servicio del SITP</t>
  </si>
  <si>
    <t>375 aumentar en 4 puntos porcentuales la confiabilidad del servicio del SITP en sus componentes troncal y zonal</t>
  </si>
  <si>
    <t>377 Conservar 190 km de cicloinfraestructura</t>
  </si>
  <si>
    <t>404 kilometros de cicloruta conservados</t>
  </si>
  <si>
    <t xml:space="preserve">405  Kilómetros de malla vial </t>
  </si>
  <si>
    <t>378  Realizar actividades de conservación a 2308 km carril de malla vial</t>
  </si>
  <si>
    <t>Kilómentros de malla vial</t>
  </si>
  <si>
    <t>414 Estrategia implementada para la calidad del Transporte público urbano regional</t>
  </si>
  <si>
    <t>387  Formular e implementar una estrategia integral para mejorar la calidad del transporte público urbano regional</t>
  </si>
  <si>
    <t>423  Patios diseñados y contratada su construcción</t>
  </si>
  <si>
    <t>396  Diseñar y contratar la construcción de 6 patios troncales y zonales del SITP</t>
  </si>
  <si>
    <t>420 Estaciones mejoradas</t>
  </si>
  <si>
    <t>393  Mejoramiento de 43 estaciones del sistema Transmilenio</t>
  </si>
  <si>
    <t>Estaciones Mejoradas</t>
  </si>
  <si>
    <t>424 Ejecución de obras en kilómetros de corredores de transporte masivo</t>
  </si>
  <si>
    <t>397 Ejecutar las obras para la adecuación de 29,6 km de corredores de transporte masivo</t>
  </si>
  <si>
    <t>Kilómetros de corredores de transporte masivo</t>
  </si>
  <si>
    <t>Estrategia implementada</t>
  </si>
  <si>
    <t>425 Ejecución de obras en kilómetros de corredor verde de la carrera séptima</t>
  </si>
  <si>
    <t>398 Ejecutar las obras para la adecuación de 20 km del corredor verde de la carrera séptima</t>
  </si>
  <si>
    <t>Kilómetros del corredor verde de la cra séptima</t>
  </si>
  <si>
    <t>408 Kilometros de malla vial construidos</t>
  </si>
  <si>
    <t>381 Construir 280 km de cicloinfraestructura</t>
  </si>
  <si>
    <t>Kilómetros de  cicloruta consevados</t>
  </si>
  <si>
    <t>Kilómetros de  cicloruta construidos</t>
  </si>
  <si>
    <t>373 _1.Reducir en 20% el número de víctimas fatales por siniestros viales para cada uno de los actores viales de la vía
2. Reducir el 20% el número de jóvenes (entre  14 y 28 años) fallecidos por siniestros viales</t>
  </si>
  <si>
    <t>403 Cables aéreos implementados y estructruados  (se mide solo estructurados)</t>
  </si>
  <si>
    <t>376 Avanzar en un 60% en la construcción del cable aéreo de San Cristóbal y el 100% de la estructuración de otros 2 cables</t>
  </si>
  <si>
    <t>Cables aéreos</t>
  </si>
  <si>
    <t>Puentes vehículares</t>
  </si>
  <si>
    <t>421 Diseños y construcción de la estación central del sistema Transmilenio</t>
  </si>
  <si>
    <t>400 Numero de personas y jóvenes fallecidos por siniestros viales (porcentaje de reducción de fallecimientos por siniestros viales)</t>
  </si>
  <si>
    <t>383   Definir e implementar dos estrategias de cultura ciudadana para el sistema de movilidad, con enfoque diferencial, de género y territorial.</t>
  </si>
  <si>
    <t>410  Estrategias de cultura ciudadana implementadas</t>
  </si>
  <si>
    <t>Número de estrategias  implementadas</t>
  </si>
  <si>
    <t>Puntos poncentuales la confiabilidad del servicio del SITP</t>
  </si>
  <si>
    <t>380  Construir 146 km de malla vial. En esta construcción se contrará con un 35% de mano de obra de la localidad donde se ejecute el proyecto</t>
  </si>
  <si>
    <t>407 Kilómetros de malla vial</t>
  </si>
  <si>
    <t>kilómetros de malla vial</t>
  </si>
  <si>
    <t xml:space="preserve">409 Puentes vehículare (construir puentes vehículares o interseccionales a desnivel) </t>
  </si>
  <si>
    <t>382   Construir o reforzar 29 puentes vehículares e intersecciones a desnivel</t>
  </si>
  <si>
    <t>411  Instrumento implementado para la medición y seguimiento de la experiencia del usuario y del prestador del servicio de taxis</t>
  </si>
  <si>
    <t>384 Definir e implementar un instrumento para la medición y seguimiento de la experiencia del usuario y del prestador del servicio en el transporte público individual</t>
  </si>
  <si>
    <t>Instrumento de medición</t>
  </si>
  <si>
    <t>385  Diseñar, gestionar e implementar una estrategia para aumentar la ocupación promedio del vehículo</t>
  </si>
  <si>
    <t>412  Estrategia de aumento de ocupación de vehículos privados</t>
  </si>
  <si>
    <t>Estrategia de ocupación de vehículos privados implementada</t>
  </si>
  <si>
    <t>386 Disminuir en un 10% el tiempo promedio en minutos, de acceso al Transporte Público</t>
  </si>
  <si>
    <t>413 Tiempo promedio en minutos de acceso al Transporte Público (tiempo de caminata y tiempo de espera) para SITP provisional, Zonal y Troncal en la primera etapa para los hogares ubicados en Bogotá</t>
  </si>
  <si>
    <t>Tiempo promedio en minutos de acceso al Transporte público</t>
  </si>
  <si>
    <t>388 Implementar 5000 cupos de cicloparqueaderos</t>
  </si>
  <si>
    <t>415  Número de cupos de cicloparqueaderos</t>
  </si>
  <si>
    <t>Número de cupos de cicloparqueaderos</t>
  </si>
  <si>
    <t>389  Implementar y operar el Centro de Orientación de Víctimas por Siniestros Viales</t>
  </si>
  <si>
    <t>416  Centro de Orientación de víctimas por siniestros  viales implementados</t>
  </si>
  <si>
    <t>Porcentaje de reduccción de víctimas fatales por siniestros viales</t>
  </si>
  <si>
    <t>Centro de Orientación de Víctimas implementado</t>
  </si>
  <si>
    <t>390  Mantener el tiempo promedio de viaje en los 14 corredores principales de la ciudad para todos los usuarios de la vía</t>
  </si>
  <si>
    <t>417  Tiempo promedio de viaje en los 14 corredores principales de la ciudad</t>
  </si>
  <si>
    <t>Tiempo promedio de viaje</t>
  </si>
  <si>
    <t>392 Conservar 360km- carril de malla vial local</t>
  </si>
  <si>
    <t>419 kilómetros carril de malla vial troncal conservados</t>
  </si>
  <si>
    <t>Kilómetros carril de malla vial troncal conservados</t>
  </si>
  <si>
    <t>395 Mantenimiento del 100% de las estaciones del Sistema Transmilenio</t>
  </si>
  <si>
    <t>422 Estaciones mantenidas</t>
  </si>
  <si>
    <t>Estaciones Mantenidas</t>
  </si>
  <si>
    <t>399 Reducir en 2 puntos porcentuales la evasión en el SITP</t>
  </si>
  <si>
    <t>426 Reducir en 2 puntos porcentuales la evasi´pn en el componente troncal y zonal del SITP</t>
  </si>
  <si>
    <t>Reducción en 2 puntos  porcentuales la evasión en el SITP</t>
  </si>
  <si>
    <t>METRO</t>
  </si>
  <si>
    <t>394  Diseñar y contratar la costrucción de la estación central de transmilenio</t>
  </si>
  <si>
    <t>Diseño y construcción de la estación central de TMSA</t>
  </si>
  <si>
    <t>Propósito</t>
  </si>
  <si>
    <t>49_  Movilidad segura, sostenible y accesible</t>
  </si>
  <si>
    <t xml:space="preserve">Transporte no motorizado </t>
  </si>
  <si>
    <t>Logística de Movilidad</t>
  </si>
  <si>
    <t>1_Subsidios y transferencias para la equidad</t>
  </si>
  <si>
    <t>1_Fuentes de  fondeo para el sector Movilidad</t>
  </si>
  <si>
    <t>1   Diseñar e implementar 4 fuentes de Fondeo para el SITP y el Sector Movilidad</t>
  </si>
  <si>
    <t>Fuentes de fondeo implementadas</t>
  </si>
  <si>
    <t>281_Viajes en bicicleta (porcentaje de viajes en bicicleta aumentado)</t>
  </si>
  <si>
    <t>35_Manejo y prevención de contaminación</t>
  </si>
  <si>
    <t>Viajes en bicicleta aumentados</t>
  </si>
  <si>
    <t>282_Vehículos de cero y bajas emisiones en el parque automotor de Bogotá, y puntos públicos de carga rápida</t>
  </si>
  <si>
    <t>264_Aumentar en 50% los viajes en bicicleta a través de la implementación de la política pública</t>
  </si>
  <si>
    <t>Vehículos de cero y bajas emisiones aumentados</t>
  </si>
  <si>
    <t>284_Porcentaje de implementación de la estrategia de fomento de la micromovilidad (esquema de transporte alternativo impulsado)</t>
  </si>
  <si>
    <t>267_Impulsar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</si>
  <si>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Esquema de transporte alternativo impulsado</t>
  </si>
  <si>
    <t>271_Reducir en el 10% como promedio ponderado ciudad, la concentración de material particulado PM10 y
PM2.5, mediante la implementación del Plan de Gestión Integral de Calidad de Aire (aporte de movilidad a
meta del sector ambiente)</t>
  </si>
  <si>
    <t>283_Porcentaje de avance en la implementación de un sistema de bicicletas públicas (sistema de bicicletas públicas implementado)</t>
  </si>
  <si>
    <t>Logistica de Movilidad</t>
  </si>
  <si>
    <t>379_Consolidar y reforzar el programa de movilidad Niños y Niñas Primero con el fin de aumentar el número de
beneficiados y facilitar el acceso a la educación de niñas, niños y adolescentes</t>
  </si>
  <si>
    <t>Programa de movilidad de niños y niñas consolidado y reforzado</t>
  </si>
  <si>
    <t>406_Niños y niñas beneficiados con el programa</t>
  </si>
  <si>
    <t xml:space="preserve">IDU
</t>
  </si>
  <si>
    <t>Actividades a cargo de TMSA adelantadas para ejecutar las obras para la adecuación de 29.6 km de corredores de transporte masivo
Actividades a cargo de TMSA adelantadas para ejecutar las obras para la adecuación de 20 Km del corredor verde de la carrera séptima</t>
  </si>
  <si>
    <t>Actividades a cargo de TMSA adelantadas para ejecutar las obras para la adecuación de 29.6 km de corredores de transporte masivo</t>
  </si>
  <si>
    <t xml:space="preserve">Patios diseñados </t>
  </si>
  <si>
    <t xml:space="preserve"> IDU</t>
  </si>
  <si>
    <t>Actividades a cargo de TMSA adelantadas para Diseñar y contratar la construcción de 6 patios troncales y zonales del SITP</t>
  </si>
  <si>
    <t>Actividades a cargo de TMSA adelantadas para el mejoramiento de 43 estaciones del sistema TransMilenio</t>
  </si>
  <si>
    <t>Actividades a cargo de TMSA adelantadas para diseñar y contratar la construcción de la estación central del Sistema TransMilenio</t>
  </si>
  <si>
    <t>Programas</t>
  </si>
  <si>
    <t>Propósitos</t>
  </si>
  <si>
    <t>1: Hacer un nuevo contrato social con igualdad de oportunidades para la inclusión social, productiva y política/  2: Cambiar nuestros hábitos de vida para reverdecer a Bogotá y adaptarnos y mitigar la crisis climática/ 4: Hacer de Bogotá Región un modelo de movilidad multimodal, incluyente y sostenible</t>
  </si>
  <si>
    <t>4_Hacer de Bogotá Región un modelo de movilidad multimodal, incluyente y sostenible</t>
  </si>
  <si>
    <t>1_Hacer un nuevo contrato social con igualdad de oportunidades para la inclusión social, productiva y política</t>
  </si>
  <si>
    <t>2_Cambiar nuestros hábitos de vida para reverdecer a Bogotá y adaptarnos y mitigar la crisis climática</t>
  </si>
  <si>
    <t>400_Alcanzar el 100% del proceso de contratación para la expansión de la PLMB-Fase 2</t>
  </si>
  <si>
    <t>50_Red de metros</t>
  </si>
  <si>
    <t>Proceso de contratación para la expansión de la PLMB-Fase 2 culminado</t>
  </si>
  <si>
    <t>Avance en el ciclo del proyecto PLMB-Tramo 1</t>
  </si>
  <si>
    <t>427_Proceso de contratación para la expansión de la PLMB - Fase 2 culminado</t>
  </si>
  <si>
    <t>428_Avance en el ciclo del proyecto PLMB - Tramo 1</t>
  </si>
  <si>
    <t>1: Subsidios y Transferencias para la equidad/  35: Manejo y prevención de la Contaminación/ 49:  Movilidad segura, sostenible y accesible/ 50: Red de Metros</t>
  </si>
  <si>
    <t>Transporte público</t>
  </si>
  <si>
    <t>Componente ambiental</t>
  </si>
  <si>
    <t>SDM- SDA (Entidad que reporta el avance)</t>
  </si>
  <si>
    <t>627_Acciones de seguimiento a la implementación del SITP</t>
  </si>
  <si>
    <t>Acciones de seguimiento a la implementación del SITP</t>
  </si>
  <si>
    <t>628_Acciones de seguimiento a los proyectos de infraestructura vial y equipamientos de transporte del sistema de movilidad</t>
  </si>
  <si>
    <t>Acciones de seguimiento a los proyectos de infraestructura vial y equipamientos de transporte del sistema de movilidad</t>
  </si>
  <si>
    <t>637_Construir el 60% de 1 cable aéreo</t>
  </si>
  <si>
    <t>Construir el 60% de 1 cable aéreo</t>
  </si>
  <si>
    <t>Reforzar puentes vehiculares</t>
  </si>
  <si>
    <t>639_Reforzar puentes vehiculares</t>
  </si>
  <si>
    <t>630_Actividades a cargo de TMSA adelantadas para Diseñar y contratar la construcción de 6 patios troncales y zonales del SITP</t>
  </si>
  <si>
    <t>640_Patios troncales y zonales del SITP con su construcción</t>
  </si>
  <si>
    <t>Patios troncales y zonales del SITP con su construcción</t>
  </si>
  <si>
    <t>SUma</t>
  </si>
  <si>
    <t>631_Actividades a cargo de TMSA adelantadas para ejecutar las obras para la adecuación de 29.6 km de corredores de transporte masivo</t>
  </si>
  <si>
    <t>632_Actividades a cargo de TMSA adelantadas para ejecutar las obras para la adecuación de 20 Km del corredor verde de la carrera séptima</t>
  </si>
  <si>
    <t>629 Porcentaje de avance anual en las actividades a cargo de TMSA para el mejoramiento de 43 estaciones del
sistema Transmilenio</t>
  </si>
  <si>
    <t>633 Porcentaje de avance anual en las actividades a cargo de TMSA para diseñar y contratar la construcción
de la estación central del Sistema Transmilenio</t>
  </si>
  <si>
    <t>651_Porcentaje de gasto en transporte público de hogares estrato 2</t>
  </si>
  <si>
    <t>Reducción del gasto en transporte público estrato1</t>
  </si>
  <si>
    <t>Reducción del gasto en transporte público estrato2</t>
  </si>
  <si>
    <t>401_Alcanzar el 60 % del ciclo de vida del proyecto PLMB - Tramo 1
LB 19,44</t>
  </si>
  <si>
    <t>265_Generar las condiciones para aumentar a 6.500 los vehículos de cero y bajas emisiones en el parque
automotor de Bogotá, incluyendo la implementación de 20 puntos públicos de carga rápida
LB 2.112</t>
  </si>
  <si>
    <t>Número de puntos públicos de carga rápida implementados</t>
  </si>
  <si>
    <t>Porcentaje de avance en la implementación de un sistema de bicicletas públicas</t>
  </si>
  <si>
    <t>6_Reducir el gasto en transporte público de los hogares de mayor vulnerabilidad económica, con enfoque poblacional, diferencial y de género, para que represente el 15% de sus ingresos</t>
  </si>
  <si>
    <t>6_ Porcentaje de gasto en transporte público de hogares estrato 1</t>
  </si>
  <si>
    <t>642_Número de puntos públicos de carga rápida implementados</t>
  </si>
  <si>
    <t>Concentración promedio ponderado de ciudad de material particulado PM 10</t>
  </si>
  <si>
    <t>Concentración promedio ponderado de ciudad de material particulado PM 2,5</t>
  </si>
  <si>
    <t>682 - Porcentaje de avance en la ejecución física de la construcción del proyecto Avenida 68 alimentadora de la PLMB</t>
  </si>
  <si>
    <t>Porcentaje de ejecucion física ejecutado</t>
  </si>
  <si>
    <t>683 - Porcentaje de avance en la ejecución física del proyecto de la extension del tramo 1 de la troncal de Transmilenio por la Avenida Caracas</t>
  </si>
  <si>
    <t>684 -Porcentaje de avance en la ejecución física del proyecto de la troncal de Transmilenio por la Avenida Ciudad de Cali</t>
  </si>
  <si>
    <t>Porcentaje de avance en la estructuración, implementación y operación del estacionamiento en vía para la ciudad de Bogotá</t>
  </si>
  <si>
    <t>266_Gestionar la implementación de un sistema de bicicletas públicas</t>
  </si>
  <si>
    <t xml:space="preserve">Número de jóvenes fallecidos por siniestros viales en jóvenes entre 14 y 28 años
</t>
  </si>
  <si>
    <t>Porcentaje de estructuración del proyecto de la Avenida Centenario entre la Crrera 50 y el límite del Distrito, como parte del borde occidental</t>
  </si>
  <si>
    <t>677_Porcentaje de estructuración del proyecto de la Avenida Centenario entre la Crrera 50 y el límite del Distrito, como parte del borde occidental</t>
  </si>
  <si>
    <t>680 - Número de cupos de cicloparquederos gestionados en infraestructura pública</t>
  </si>
  <si>
    <t>Número de cupos de cicloparquederos gestionados en infraestructura pública</t>
  </si>
  <si>
    <t>Porcentaje de avance de las acciones para aumentar el número de cupos de cicloparqueaderos en infraestructura privada</t>
  </si>
  <si>
    <t>681 - Porcentaje de avance de las acciones para aumentar el número de cupos de cicloparqueaderos en infraestructura privada</t>
  </si>
  <si>
    <t>676_Porcentaje de avance en la estructuración, implementación y operación del estacionamiento en vía para la ciudad de Bogotá</t>
  </si>
  <si>
    <t>663_Concentración promedio ponderado de ciudad de material particulado PM 10
Concentración promedio ponderado de ciudad de material particulado PM 2,5</t>
  </si>
  <si>
    <t>288_Concentración promedio ponderado de ciudad de material particulado PM 10</t>
  </si>
  <si>
    <t>643_Número de jóvenes fallecidos por siniestros viales en jóvenes entre 14 y 28 años</t>
  </si>
  <si>
    <t xml:space="preserve">
Programado 2021
</t>
  </si>
  <si>
    <t>Ejecutado 2022</t>
  </si>
  <si>
    <t>La meta no presenta retrasos.</t>
  </si>
  <si>
    <t>La meta no presenta retrasos</t>
  </si>
  <si>
    <t>Periodicidad quinquenal</t>
  </si>
  <si>
    <t>PLAN DE DESARROLLO:    UN NUEVO CONTRATO SOCIAL Y AMBIENTAL PARA LA BOGOTÁ DEL SIGLO XXI</t>
  </si>
  <si>
    <t>PLAN MAESTRO DE MOVILIDAD</t>
  </si>
  <si>
    <t>AVANCE CUALITATIVO</t>
  </si>
  <si>
    <t xml:space="preserve">
PRESUPUESTO (Millones de pesos)</t>
  </si>
  <si>
    <t>AVANCE TRIMESTRAL (Magnitud)</t>
  </si>
  <si>
    <t>La Estación Central será el mayor centro de intercambio modal del componente troncal del SITP, donde confluyen la Primera Línea de Metro, Regiotram y dos corredores troncales de TransMilenio.</t>
  </si>
  <si>
    <t>Con la implementación de la flota troncal correspondiente a la renovación de la misma, se genera aumento de la cobertura en la ciudad, se amplía el servicio de transporte, y por ende un menor tiempo de espera.</t>
  </si>
  <si>
    <t>Diciembre 31 de 2022</t>
  </si>
  <si>
    <t>En lo que respecta al número de fuentes de fondeo implementadas para el Sector Movilidad, en lo corrido del plan de Desarrollo 2020- 2022 se han implementado cuatro (4) fuentes de fondeo así:
1. Pago voluntario por acceso a zona con restricción, autorizado mediante el Plan Nacional de Desarrollo y Decreto Distrital 749 de 2019. Desde su implementación se ha recaudado $251.350 millones de pesos con corte a diciembre de 2022. Su
recaudo inició en 2020, sin embargo, la coyuntura de la pandemia, el levantamiento de la media de pico y placa, y otros factores, hicieron que no se recaudara lo esperado en 2021. Sin embargo, con la Resolución 83464 de 2021 se inició la
implementación de la fase 2, en la cual se introdujo la posibilidad de pago diario y mensual, que se vio reflejada de manera positiva en el recaudo de los primeros meses de 2022.
2. Tasa para revisión, evaluación y seguimiento de derechos de tránsito, autorizada por el artículo 94 del Acuerdo 761 de 2020, el cual señaló lo siguiente: Toda entidad y/o persona natural o jurídica del derecho privado que solicite a la SDM derechos de
tránsito, tales como: Planes de Manejo de Tránsito, estudios de tránsito, estudios de cierres viales por eventos, diseños de señalización, estudios de atención y demanda a usuarios y los trámites para su recibo, deberá asumir los costos según
corresponda en cada caso, conforme a la metodología que se establezca que incluirá criterios de eficiencia, eficacia y economía. Dichas tasas fueron definidas e implementadas mediante Resolución No. 081 del 1º de febrero de 2021 expedida por la
Secretaría Distrital de Movilidad, se han recaudado $7.574 millones de pesos con corte a diciembre de 2022, con destinación al Sistema de Movilidad Sostenible.
3. Fuente Tasa por el Derecho de estacionamiento sobre las vías públicas: se encuentra autorizada mediante el Acuerdo Distrital 695 de 2017, su implementación se inició en 2021 y la captación de excedentes para el Fondo de Estabilización Tarifaria
se proyecta para 2023. Con su puesta en operación, se proyectan ingresos que cubran la remuneración al operador del servicio, el mantenimiento de la infraestructura, la implementación de zonas de parqueo y los excedentes mencionados para el SITP.
Desde su operación y hasta mayo de 2022 entraron en operación las primeras zonas de parqueo pago, en total 5.008 cupos operativos y se han recaudado $5.557 millones de pesos con corte a diciembre de 2022, en virtud del contrato
interadministrativo No. 2021-2470 celebrado entre la Secretaría Distrital de Movilidad y la Terminal de Transporte S.A.
4. Valet Parking adoptada mediante Resolución 151742 de 2022 Por medio de la cual se adopta el Protocolo general para el aprovechamiento económico del espacio público de la actividad de valet parking en vía pública en modalidad de corto plazo y
por la Circular Externa 24 de 2022. Desde su implementación y hasta diciembre de 2022 se han recaudado $50.6 millones de pesos.
A 31/12/2022 este indicador registra un avance del 100% para la vigencia, 100% transcurrido plan y 100% acumulado plan.
En cuanto a la estructuración, implementación y operación del estacionamiento en vía para la ciudad de Bogotá, se registran las siguientes actividades:
En lo corrido de las vigencias 2021 y 2022, se ha logrado un avance del 65% del proyecto de estacionamiento en vía la ciudad, que corresponde a la estructuración, implementación y operación del proyecto. Para la vigencia 2022, se dio cumplimiento al
20% programado para la vigencia, que corresponde a la ejecución de la totalidad de actividades de estabilización del proyecto, como supervisión, implementación de cepos para inmovilización, implementación de 5.008 cupos de estacionamiento, y
demás tareas sujetas al convenio.Actualmente, los cupos se encuentran en algunas localidades como Chapinero, Usaquén, Teusaquillo, Barrios Unidos, Puente Aranda, Los Mártires, Santa Fe y Fontibón, lo cual lo ha contribuido a ordenar el espacio
público en sectores con una importante dinámica de estacionamiento.
A 31/12/2022 este indicador registra un avance del 100% para la vigencia, 100% transcurrido plan y 65% acumulado plan.</t>
  </si>
  <si>
    <t>La implementación de las nuevas fuentes de fondeo permitirá garantizar la sostenibilidad financiera del SITP en el corto, mediano y largo plazo, y reformular las políticas orientadas a la implementación de las fuentes alternas de financiación con tarifas
preferenciales para algunos grupos poblacionales, promoviendo el acceso y disfrute igualitario y con calidad al sistema de movilidad de Bogotá, con un énfasis en la población económicamente vulnerable.</t>
  </si>
  <si>
    <t>A la fecha no se presentan retrasos.</t>
  </si>
  <si>
    <t>No presentaron retrasos.</t>
  </si>
  <si>
    <t>En el Plan de Desarrollo "Un nuevo contrato social y ambiental para el siglo XXI", en el marco del impacto generado por el COVID19 en los patrones de comportamiento de la movilidad en la ciudad, la Secretaría Distrital de Movilidad, ha desarrollado 
una metodología de medición conjugando diferentes fuentes de información y análisis estadísticos para lograr identificar el número de viajes en bicicleta que se realizan en la ciudad obteniendo una estimación aproximada del número de viajes que se 
realizan al día, con rangos de incertidumbre, pero no alcanza la robustez de una operación estadística con el nivel de representatividad de la Encuesta de Movilidad (insumo utilizado para la formulación del indicador), con el fin de mantener la 
consistencia en fuente primaria de información de calidad, la SDM tiene programado realizar la Encuesta de Movilidad en el año 2023, proyectando contar con la información para reportar el número de viajes en la ciudad-región, finalizando el año en 
mención.
Durante el Plan de Desarrollo desde la Administración se ha incentivado el uso de la bicicleta en la ciudad, a través de las acciones para el cumplimiento de los objetivos específicos de la política pública de la bicicleta, así:
Más seguridad personal: Bicicletas registradas 221.414 
Mayor seguridad vial: Se apoya el desarrollo de acciones pedagógicas de seguridad vial
Más y mejores viajes en bicicleta: Construcción de los Documentos Técnicos de Soporte para el mantenimiento y la implementación de ciclorruta. Por otro lado, se tienen 11.060 cupos de ciclo parqueaderos con sellos de calidad. 
Más bici para todas y todos: Para la promoción del uso de la bicicleta se han propiciado espacios de dialogo con los colectivos ciclistas, se ha apoyado la conmemoración del día internacional de la bicicleta y se han desarrollado las semanas de la 
bicicleta de las vigencias 2020, 2021 y 2022. Además, durante este periodo de tiempo se acompañaron los talleres participativos con comunidad ciclistas dados por el IDPC en el marco de la declaratoria de la cultura de la bicicleta como patrimonio 
cultural de Bogotá. También se ha acompaño el desarrollo de los consejos locales y distrital de la bicicleta y se han identificado espacios para la resignificación del espacio público con enfoque de género y se realizó el mismo ejercicio, en el marco de 
barrios vitales. Se firmó el Acuerdo Regional 02 de 2022 -Por el cual se crea y se reglamenta la Mesa Regional de la Bicicleta en la Región Central. -El 3 de agosto (con la presentación del documento de postulación ante el concejo de patrimonio 
cultural) se inició al contrato interadministrativo 2022-1586 con la Secretaría Distrital de Cultura Recreación y Deporte para entregar estímulos a colectivos ciclistas que promuevan el uso de la Bicicleta. 
Se dio cumplimiento al producto 4.4.3: Comisión Intersectorial de la Bicicleta articulada con el Consejo Distrital de la Bicicleta a través del Decreto Distrital 480 de 2022 -Por medio del cual se crea la Comisión Intersectorial de la Bicicleta del Distrito 
Capital y se dictan otras disposiciones.</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</si>
  <si>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aportaron en la reducción de los siniestros viales y el hurto de bicicletas al que están expuestos los ciclistas de la ciudad y brindan las condiciones físicas, culturales y socioeconómicos para que los ciclistas ejerzan su 
derecho a disfrutar de la ciudad en Bicicleta.</t>
  </si>
  <si>
    <t xml:space="preserve">La Secretaría Distrital de Movilidad-SDM, en lo corrido del Plan Distrital de Desarrollo se ha logrado el aumento del número de vehículos de cero y bajas emisiones con un resultado a 31 de diciembre 2022, de 7.367 vehículos de cero y bajas emisiones 
registrados, 4.954 de éstos son vehículos eléctricos y 2.413 vehículos dedicados a gas natural vehicular. En cuanto a los puntos públicos de carga rápida se está creando el marco legal, actualmente la ciudad cuenta con 5 puntos de carga rápida, 4 
nuevas desde la entrada en vigencia del PDD.
</t>
  </si>
  <si>
    <t>Aumento de la flota de transporte de cero y bajas emisiones se refleja en menor cantidad de material particulado y gases de efecto invernadero emitidos. Esto contribuye en beneficios de salud pública para la ciudadanía.</t>
  </si>
  <si>
    <t>No presentaron restrasos</t>
  </si>
  <si>
    <t>En lo corrido PDD la Secretaría Distrital de Movilidad, mediante el contrato de aprovechamiento del espacio público CAMEP 202263 avanza en un 70% en la implementación de un sistema de bicicleta compartida en la ciudad. Durante la vigencia 2022 
se inició la ejecución del contrato 202263, lo que permitió el inicio de la operación parcial del sistema. A la fecha se registra la instalación de 237 estaciones, 1500 bicicletas mecánicas operando y 471 bicicletas eléctricas. Por otro se instalaron 290 
ciclotalleres y 399 cicloparqueaderos del sistema de bicicletas compartidas. 
A continuación, se presentan las siguientes cifras de uso del sistema:
- Viajes: 95.549
- Planes adquiridos: 135.590
- 24.562 personas entre nacionales y extranjeros han adquirido algún tipo de membresía para utilizar el sistema.
- Los usuarios que han utilizado el sistema están en el rango de 18 a 75 años, siendo el grupo entre 29 y 38 años el más frecuente
- El tiempo promedio de viaje ha sido de 19 minutos entre semana y 24 minutos fin de semana.
- La hora donde más se realizan viajes en promedio es a las 5pm</t>
  </si>
  <si>
    <t>Mediante el Sistema de Bicicletas Compartidas se espera generar nuevos viajes diarios en bicicleta, beneficiando no sólo a los usuarios del mismo, sino también contribuyendo en el descongestionamiento del Sistema de Transporte Público, y a su vez 
reduciendo las emisiones de CO2 debido al cambio de modos motorizados que incentiva este sistema.
En el mediano / largo plazo, estos sistemas incentivan que nuevos ciudadanos se vuelvan bici usuarios y cambien su modo de transporte motorizado actual no sólo por el Sistema de Bicicletas Compartidas per-se, sino también por su propia bicicleta 
mecánica o eléctrica.</t>
  </si>
  <si>
    <t>No presentaron retrasos</t>
  </si>
  <si>
    <t>Con el propósito de impulsar un esquema de transporte alternativo y ambientalmente sostenible, la Secretaría Distrital de Movilidad ha establecido una estrategia de fomento de la Micromovilidad, a través del uso y aprovechamiento del espacio público, 
pues es allí en donde se puede aumentar el uso de vehículos de micromovilidad, por ejemplo, las bicicletas y patinetas.
Es por ello, que desde julio de 2020 se presentan los siguientes avances de esta meta:
- Construcción y publicación del protocolo de la actividad -Alquiler de vehículos de micromovilidad- mediante la Resolución No. 86572.
- Expedición de la regulación de provisión de servicio de la actividad de micromovilidad mediante la resolución No. 93495.
- Se gestionó con Secretaría de Ambiente la expedición de la resolución No. 03815 -Por medio de la cual se determinan las características y condiciones de instalación de elementos de publicidad exterior visual en los vehículos y sus accesorios y 
elementos que conforman el sistema de movilidad individual en Bogotá D.C.
- Aprobación del Acuerdo 811 de 2021 que: 1. Permite la Publicidad Exterior Visual en vehículos de micromovilidad y 2. Permite a la Administración Distrital regular la provisión del servicio ante el Concejo Distrital.
- Publicación de la Circular 13 de 2020 -Lineamientos para la expedición de permisos temporales de alquiler de vehículos de micromovilidad de acuerdo a lo dispuesto en el Decreto Distrital 121 de 2020, en el marco de la situación excepcional de 
calamidad pública por el COVID-19-.
- Publicación de la Circular 11 de 2021 -Lineamientos para la expedición de permisos temporales de alquiler de vehículos de micromovilidad de acuerdo a lo dispuesto en el Decreto Distrital 073 de 2021, en el marco de la situación excepcional de 
emergencia sanitaria por el COVID-19-.
- Expedición de la Resolución 205885 de 2022 que determina las condiciones para otorgar permisos de micromovilidad.
- Construcción del procedimiento interno para otorgar permisos de micromovilidad PM01-PR11-Procedimiento para otorgar el permiso de aprovechamiento económico del espacio público para el alquiler de vehículos de micromovilidad y la autorización 
para desarrollar la provisión del servicio de vehículos de movilidad individual-.
-En la vigencia fue expedido el Documento Técnico de Soporte para Autorizar la Actividad de Alquiler de Vehículos de Micromovilidad en el Espacio Público de la Ciudad de Bogotá D.C. bajo el esquema de permisos de aprovechamiento económico del 
espacio público, mediante el cual se definen zonas y condiciones de operación para autorizar el alquiler de vehículos de micromovilidad mediante permisos. Disponible en: https://simur.gov.co/sites/simur.gov.co/files/2022-10-21/biblioteca/20221021-
1136-220913dts-permisos-micromovilidad.pdf
Todas estas acciones se encuentran alineadas y tienen como propósito que los ciudadanos tengan a su alcance un esquema de transporte alternativo y ambientalmente sostenible.</t>
  </si>
  <si>
    <t xml:space="preserve">Establecer un nuevo esquema de ciudad mediante la promoción alternativas de micromovilidad en la ciudad, entendida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'última milla' que conecta a los viajeros a las paraderos o estaciones del transporte público, lo cual ayuda notoriamente a 
descongestionar el transporte público.
</t>
  </si>
  <si>
    <t xml:space="preserve">En el marco del Plan de Desarrollo "Un nuevo contrato social y ambiental para el siglo XXI", la Secretaría Distrital de Movilidad - SDM, ha trabajado con la Secretaría Distrital de Ambiente -SDA, en la construcción e implementación del Plan Aire 2030, 
instrumento que traza la hoja de ruta para la reducción de la concentración de material particulado.
 -Se consolido el documento y los cálculos del Inventario de Emisiones de contaminantes locales para el año 2020 y 2021.
 - En alianza con Gobiernos Locales por la Sostenibilidad (ICLEI), se consolidó el Plan de Logística Baja en Carbono, por medio del cual se definen las acciones para disminuir las emisiones del sector logístico en Bogotá-Región y también se inició el 
Beneficios
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
Indicador(es) de Metas Sectoriales: 270
PROPÓSITO CAMBIAR NUESTROS HÁBITOS DE VIDA PARA REVERDECER A BOGOTÁ Y ADAPTARNOS Y MITIGAR LA CRISIS CLIMÁTICA
287 Porcentaje de acciones de operación, mantenimiento y monitoreo de la red de ruido realizadas
126 Secretaría Distrital de Ambiente
Vigencia En la Vigencia Transcurrido Acumulado en PDD
AVANCE TOTAL DEL INDICADOR
2020
2021
2022
2023
2024
 100.00
 100.00
 100.00
 100.00
 100.00
 100.00
 100.00
 100.00
 100.00
 100.00
 100.00
 100.00
 100.00
 0.00
 0.00
 100.00%
 100.00%
 100.00%
 0.00%
 0.00%
 100.00% 100.00% 2022 100.00% 100.00% 60.00%
 100.00% 100.00% 60.00%
 60.00%
 Programación
 Inicial
 Programación Ejecución
Vigencia
Año Avance
De la
Vigencia
Transcurrido 
del Plan
Vigencia
Ponderación
frente al indicador En la Vigencia Transcurrido Acumulado en PDD
AVANCES DE LA ENTIDAD FRENTE AL INDICADOR
271 Reducir en el 10% como promedio ponderado ciudad, 
la concentración de material particulado PM10 y 
PM2.5, mediante la implementación del Plan de 
Gestión Integral de Calidad de Aire (aporte de 
movilidad a meta del sector ambiente)
 $127 $127 100.00 $1,003 $1,003 100.00 $1,786 $1,785 99.99 $5,035 $0 0.00 $3,294 $0 0.00 $11,245 $2,916 25.93
 al Plan de Desarrollo
Medido por Entidad
Incluido en Acto Administrativo
Estado:
Periodicidad:
Vigente
Trimestral
Agrega
SI
SI
Constante
Tipo Agregación:
126 SDA, 
113 SDM, 
Entidad(es) que aportan a Metas Sectoriales:
SECRETARÍA DISTRITAL DE PLANEACIÓN - Subsecretaría de Planeación de la Inversión / DPSI
Sistema de Seguimiento al Plan de Desarrollo - SEGPLAN
Fecha de impresión: 01-FEB-2023 15:47
1357225041 Reporte: sp_rep_pa_seg_coor_bh.rdf (20190619)
Página 103 de 141
Informe componente de gestión - Gerencia de Programa General a 31/12/2022
Plan de Desarrollo UN NUEVO CONTRATO SOCIAL Y AMBIENTAL PARA LA BOGOTÁ DEL SIGLO XXI Millones de pesos corrientes
Programa General/N/A/Metas Sectoriales Programado Ejecutado % Programado Ejecutado % Programado Ejecutado % Programado Ejecutado % Programado Ejecutado % Programado Ejecutado %
2020 2021 2022 2023 2024 TOTAL
proyecto piloto de desconsolidación de transporte de carga de última milla con vehículos de cero emisiones 
-En 2021, la SDM y la SDA con la Financiera de Desarrollo Nacional, realizaron el contrato del diseño del vehículo financiero. El contrato contempló las siguientes etapas: E1. Identificación de fuentes potenciales, E2. Priorización de tecnologías, E3. 
Diseño del vehículo financiero y análisis de bancabilidad, E4. Ruta de implementación y socialización
Resultado de dicho proceso, en diciembre 2021, a través del artículo 32 de la Ley 2169 de 2021, se creó el Fondo Distrital para la Promoción del Ascenso Tecnológico de la carga urbana en Distrito Capital. A partir de enero de 2022, avanzan en las 
actividades que son necesarias para la implementación del fondo distrital de carga de acuerdo con lo previsto en la hoja de ruta del fondo. 
-Definición de un Plan Estratégico Peatonal 2021.
-Intervenciones de calzadas para mejorar las condiciones de circulación peatonal.
-Se estructuran convenios para el análisis, formulación y pilotos de intervención de la infraestructura peatonal.
-Se ajustan los procesos normativos considerando el fallo contra el Decreto 555 del 2021 el POT.
-Inicio de formulación de la Política Pública del Peatón.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31 de diciembre: Reducción del 2.58% del material particulado PM10 equivalente a 1.2 microgramos por metro cubico respecto a la línea base, lo que indica una concentración de 37.1 microgramos por metro cubico al cierre de 2022.
Vigencia 2022 a 31 de diciembre: Reducción del 2.58% del material particulado PM2.5 equivalente a 0.6 microgramos por metro cubico respecto a la línea base, lo que indica una concentración de 19.1 microgramos por metro cubico al cierre de 2022.
Cabe precisar, que estos indicadores (PM10 y PM 2,5), corresponden a la medición de variables físicas como la concentración de material particulado en el aire, que dependen de factores como la meteorología, las emisiones de las fuentes locales, la 
actividad económica y la dinámica de la ciudad, los eventos regionales y globales de contaminación, entre otros, por lo que no es posible garantizar que su tendencia siempre sea decreciente, pese a que la meta se proyectó como una reducción a lo 
largo del cuatrienio, considerando que las gestiones encaminadas al mejoramiento de la calidad del aire establecidas en el marco del Plan Aire, tienen un impacto en la reducción de las emisiones locales.
</t>
  </si>
  <si>
    <t>Disminuir la concentración de material particulado, lo cual se refleja en beneficios en salud pública para la ciudadanía.
Se considera importante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 
viajes a pie. 
Por tanto, se busca que Bogotá se convierta en una ciudad donde la ciudadanía y especialmente las mujeres y los niños puedan caminar para tener acceso a todo tipo de servicios y al transporte público en virtud de mejorar la calidad de vida.</t>
  </si>
  <si>
    <t>A continuación, algunas dificultades presentadas en el cumplimiento de la meta:
R: Exceso velocidad: especialmente el actor vial motociclista, en la medición del 2022 el 57% de los motociclistas estudiados circulaban por encima de los límites de velocidad reglamentados.
Mayor número de motociclistas noveles: Dentro de los análisis que adelanta la SDM, entre enero y octubre de 2022, 4 de cada 10 motociclistas fallecidos tenían menos de 2 años de haber expedido su licencia o no contaban con la licencia.
Incremento parque automotor y expedición licencias: en Bogotá y 11 municipios vecinos, se ha incrementado en un 69% el número de registros de motocicletas nuevas entre enero y diciembre de 2022.
S: Se seguirán implementando medidas que ayuden a mitigar la siniestralidad: utilizando medios tecnológicos que regulen el límite de velocidad en las vías, fortaleciendo el control de comportamiento que ponen en riesgo a los actores viales, soluciones
de pre-diseños, desarrollar estrategias pedagógicas.</t>
  </si>
  <si>
    <t>La meta cuenta con dos indicadores, a continuación, el reporte de cada uno de ellos con corte a diciembre de 2022:
*Número de personas fallecidas por siniestros viales: En cifras preliminares, durante el año 2022 fallecieron 553 personas a causa de la siniestralidad vial, representando un aumento del 10% frente a las muertes registradas en el año 2019. Se
evidencio una reducción del 12% en las fatalidades con peatones frente a 2019. Las mayores afectaciones se presentan en pasajeros y motociclistas. 76% de las víctimas fatales en siniestros viales fueron hombres y 21% mujeres. Esta información fue
tomada del SIGAT (Sistema de Información geográfico de Accidentes de Tránsito) el 02-01-2023.
Frente a estas cifras, las acciones que se implementan desde la SDM con el Plan Distrital de Seguridad Vial (PDSV) 2017-2026 son:
Eje 1: Institucionalidad y gestión de la Seguridad Vial: Realizaron diferentes análisis de identificando puntos críticos, seguimiento a fallecidos, entre otros, con el fin de generar alertas de riesgo para evitar posibles siniestros en la ciudad de Bogotá Eje 2:
Actores de la vía, comunicación y cultura vial: Se coordinó la planificación y desarrollo de actividades lúdico-pedagógicas en seguridad vial dirigidas a motociclistas durante el año, entre ellas se encuentra la ejecución del Día Distrital del Motociclista,
jornadas de Conciencia Vial de Motociclistas en algunas localidades, cursos teórico-prácticos, entre otras. Se realizaron talleres sobre seguridad vial y género dirigidos a clubes de mujeres motociclistas. Se realizaron jornadas de sensibilización de
seguridad vial en campo a la organización Corabastos en la localidad de Kennedy dirigidas a conductores de vehículos de carga pesada y bici usuarios de la organización Corabastos. Eje 3: Víctimas: Bogotá es la primera ciudad del país en contar con
un Centro de Orientación para Víctimas por Siniestros Viales, donde se informa y orienta a las víctimas por siniestros viales y sus familiares acerca de los procedimientos que pueden seguir en materia social, jurídica y psicológica tras un incidente de
tránsito, con el fin de brindarles herramientas para adaptarse adecuadamente a sus nuevas condiciones en la vida. En el año 2022 fueron atendidas 488 víctimas de siniestros viales (57 son conductores, 215 motociclistas, 57 pasajeros, 99 ciclistas y 60
peatones). 488 citas de acogida, 559 citas de orientación jurídica, 352 citas de orientación social y 596 citas de orientación psicológica, total de 1.995 citas. Eje 4: Infraestructura Segura: Apoyo a la implementación del Sistema de Bicicletas Compartidas.
Emisión de concepto frente a la disposición de los paneles publicitarios y la zona de aproximación para garantizar la seguridad vial de los actores viales en las ubicaciones de las estaciones del sistema. Eje 5: Control para la seguridad vial, tecnología y
vehículos: en el año se programaron 2.377 controles de velocidad, que han resultado en la imposición de 15.077 comparendos C29. Cámaras Salvavidas, se han impuesto 539.554 comparendos C29. Controles de embriaguez, se han realizado 930,
total de 1.916 comparendos F.
*Número de jóvenes fallecidos por siniestros viales en jóvenes entre 14 y 28 años: En cifras preliminares, durante el período enero-diciembre 2022 se registraron 186 víctimas fatales entre 14 y 28 años con un aumento del 2% comparado al 2019, el
mayor número de víctimas en este rango etario está en los jóvenes de 21 a 28 años. Esta información fue tomada del SIGAT (Sistema de Información geográfico de Accidentes de Tránsito el 02-01-2023).
Algunas de las acciones del Plan Distrital de Seguridad Vial (PDSV) 2017-2026 que se han realizado para lograr la disminución de fatalidades en accidentes de tránsito
Eje 1: Institucionalidad y gestión de la Seguridad Vial: Revisión de estrategia para el desarrollo del proyecto de demarcación de entornos escolares con 3M, con la Dirección de Ingeniería del Tránsito, Barrios Vitales y Niñ@s Primero, con el fin de
conjugar puntos en los que se pueda avanzar y posteriormente incluirlo como complemento de intervención de los proyectos que se están desarrollando en el corto y mediano plazo para el mejoramiento de los viajes y el aprovechamiento del espacio
público para usuarios vulnerables. Eje 2: Actores de la vía, comunicación y cultura vial: Se coordinó la planificación y desarrollo de actividades lúdico-pedagógicas en seguridad vial dirigidas a motociclistas durante el año, entre ellas se encuentra la
ejecución del Día Distrital del Motociclista, jornadas de Conciencia Vial de Motociclistas en algunas localidades, cursos teórico-prácticos, entre otras. Eje 3: Víctimas: se realizó gestión interinstitucional para avanzar en el acuerdo 834 de 2022 -Por
medio del cual se retoman elementos de la iniciativa de Estrellas Negras para una campaña de seguridad vial, cultura ciudadana y conmemoración de víctimas de siniestros -, se llevó a cabo el evento del Día de Conmemoración a Victimas de Siniestros
viales en la Plaza Lourdes de Bogotá, entre otros. Eje 4: Infraestructura Segura: Jornada de sensibilización en nociones de seguridad vial con la organización Corabastos enfocada a conductores de carga y ciclistas. Eje 5: Control para la seguridad vial, tecnología y vehículos: Coordinación de jornada de marcación de puntos ciegos en el sector de Yomasa mediante stickers adhesivos a un total de 44 vehículos de carga de la zona. Capacitación sobre seguridad vial y control de velocidad a 120 agentes civiles de tránsito nuevos que ingresan a apoyar diferentes actividades de control.</t>
  </si>
  <si>
    <t>El mayor impacto registrado es La reducción de fallecimientos por siniestros viales en peatones. De manera específica, con respecto al mismo periodo de 2019 se tiene una reducción del 14% que corresponde a 32 vidas salvadas de este actor vial, el
cual era el más vulnerable en época de pre pandemia.
Se han implementado 4.600 medidas integrales de gestión de tránsito, se demarcaron 8.000 pasos peatonales y se beneficiaron 700 Instituciones Educativas.</t>
  </si>
  <si>
    <t>Meta de tipo creciente cuyo avance es de 191.367 con respecto las 166.954 Sillas esperadas para la vigencia 2022.
A diciembre de 2022 se tienen 476.020 sillas de flota troncal vinculada; con relación al componente zonal ya se tienen 550.118 sillas de flota vinculada, para un total de 1.026.138 sillas disponibles, equivalente a un aumento de 191.367 sillas de oferta
(22,92%) con respecto a la línea base para el Plan de Desarrollo (834.771)
Por su parte, y en lo que refiere a las Acciones de seguimiento a la implementación del SITP por parte de la Secretaría Distrital de Movilidad, durante el cuatrienio se ha avanzado en las siguientes acciones
-Implementación del SITP en zonas rurales: se revisa conjuntamente con Transmilenio la opción de prestar servicio a Sumapaz (Localidad rural) a través del SITP, el ente gestor revisa las condiciones técnicas, financieras y tecnológicas para esta
alternativa.
-Proyecto carriles preferenciales: se culminó el diseño del mantenimiento de la señalización de 29.2 km/carril correspondiente al corredor de la Av. NQS, de los cuales se han implementado 21 km/carril en el tramo entre la AK 68 y la Cl. 63.
-Mejoramiento de la calidad del transporte público: se ha avanzado en análisis de información para las localidades de Ciudad Bolívar y San Cristóbal, de manera paralela se realizan análisis para el sistema troncal y otras localidades
-Mesas de seguimiento a la tutela -Resolución 246-2015 con la participación de Transmilenio S.A., Instituto de Desarrollo Urbano -IDU, Departamento Administrativo del Espacio Público - DADEP, Unidad de Mantenimiento Vial - UMV, Fondo de
Desarrollo Local - FDL Alta Consejería de la Tics - ADTICs y Secretaria Jurídica Distrital se han realizado 10 mesas de seguimiento para el cumplimiento de la tutela T-192-14 y se presentó ante el juzgado el informe
-Plan de Movilidad Accesible Seguimiento constante a los indicadores de cada uno de los cinco ejes de acción.
-Se han realizado 40 mesas interinstitucionales con el IDU, Departamento Administrativo de la Defensoría del Espacio Público, Transmilenio S.A, Unidad Administrativa de Mantenimiento y Rehabilitación de la Malla Vial a fin de acordar acciones para
mejorar la accesibilidad en el espacio público asociado a paraderos.
-Mesas al interior de la SDM a fin de coordinar acciones en la implementación de señalización en paraderos del SITP en especial los que presentan conflicto con ciclorutas y/o bicicarriles
-Se han realizado 15 mesas técnicas donde se trataron casos especiales en la implementación de paraderos del servicio zonal-alimentación del SITP, conforme a la resolución 269 / 2020
Paraderos. Adicionalmente se planifica la priorización de los paraderos a intervenir para el próximo año, bajo el contrato de concesión DADEP 162-2020.
-Se han realizado 40 visitas técnicas a diferentes puntos de la ciudad con el fin de revisar inconvenientes en paraderos con afectación por conflicto con ciclorrutas, problemas en relación a su ubicación y/o a temas de reubicación o traslados
-Se apoya a Subdirección de Infraestructura en la revisión de los diseños de proyectos como; metro de Bogotá, Regiotram de occidente, Av. Guayacanes con relación a la accesibilidad e implementación y/o reubicación de paraderos SITP que se
encuentren ubicados dentro del proyecto
Se realizaron 2 videos en el cual se describen los paraderos del SITP zonal y su accesibilidad, así como la flota vehicular nueva incorporada (Énfasis en puerta de acceso elevador, sillas PcD, espacio ayuda viva, perro guía.
Beneficios
Se tienen 191.367 sillas adicionales en el sistema de transporte público para aumentar la capacidad en los componentes troncal y zonal, y en consecuencia mejorar la prestación del servicio.</t>
  </si>
  <si>
    <t>Se tienen 191.367 sillas adicionales en el sistema de transporte público para aumentar la capacidad en los componentes troncal y zonal, y en consecuencia mejorar la prestación del servicio.</t>
  </si>
  <si>
    <t xml:space="preserve">En cuanto al indicador de confiabilidad del servicio del SITP en el componente troncal y zonal:
BRT: El comportamiento del indicador depende de múltiples factores (el cumplimiento de kilómetros, despachos y de la gestión de mantenimiento que realizan los concesionarios de operación); por lo tanto, el resultado es susceptible de fluctuaciones 
positivas y negativas, por lo cual es importante observar tendencias y no datos puntuales. En lo relacionado con datos puntuales, es importante que estas cifras sean analizadas en función de un valor de referencia (la meta). Por último, los resultados del
indicador en los diferentes meses del año 2022 no han fluctuado significativamente en relación con el promedio de año 2022 (con corte al mes de noviembre), y estas fluctuaciones pueden estar asociadas a las condiciones típicas de cada mes del año (actividades económicas, clima y variaciones de demanda).
Zonal: Si bien se logró una mejora en el Índice de Regularidad del intervalo del componente Zonal, pasando de cifra de mes a 68,1% en marzo de 2020, a un valor promedio acumulado a 31 de diciembre de 2022 del 76,98 %., durante el 2022 se ha 
presentado una leve reducción del indicador de 0.95 respecto a junio de 2022 (77,93), dicha disminución se debe a, eventos como manifestaciones, congestión vehicular y la ausencia de conductores. Dichas situaciones han generado un reto la DTB con
el fin de disminuir el impacto de estas situaciones en la prestación del servicio y continuar con los logros obtenidos respecto a la regularidad de los viajes. Por tal motivo se adelantaron acciones como: proyectos o -Rutas de Alto Impacto-, ajuste en 
tolerancias del indicador -IRI-, Control de Adelantamientos, creación de herramientas como los tableros de Tiempos de Ciclo, Curvas de Oferta demanda, entre otras acciones. 
Frente a las acciones de la Secretaría Distrital de Movilidad en el seguimiento a los proyectos de infraestructura vial y equipamientos de transporte del sistema de movilidad, se encuentran como avances:
Durante el período de julio de 2020 a diciembre de 2022, la SDM avanza en un 65% en las acciones de seguimiento a los proyectos de infraestructura vial, emitiendo conceptos oportunos sobre los documentos de metodología para estudios de tránsito 
revisados y aprobados para equipamientos de transporte del sistema de movilidad entre los cuales se encuentran: 
Metodologías:
*Metodología para el control de cambios del estudio de tránsito del Contrato IDU-1550 de 2018 
*Construcción de la Av. Rincón desde Av. Boyacá hasta Carrera 91
*Metodología del estudio de tránsito para el Tramo 1 del Corredor Verde Carrera 7 
 *Factibilidad del proyecto -Andenes y ciclorruta Calle 90 Unicentro de Occidente- y Metodología para el estudio de transporte del Complejo de Intercambio Modal del Norte. *Metodología Estudio de Tránsito: Ciclo Alameda Medio Milenio. 
 *Metodología Contrato IDU-1708-2021 estudios y Diseños de los accesos viales María Paz; 
*Contrato IDU-1601 de 2020,-estudios y diseños de la calzada norte de la AC 153 entre la Autopista Norte y la AK 72. 
*Metodología Contrato IDU-1814-2021 
Estudios de Tránsito:
* Estudio, diseño y construcción de mejoras geométricas y nueva salida del Portal Troncal 80. 
* Malla vial y andenes en la Carrera 4Este entre Calles 46D Sur y 45 Sur La Victoria.
* Estudios, diseños y construcción del Canal Córdoba entre Calles 129 y 170. 
* Estudios y diseños conexión regional Canal Salitre y Río Negro NQS- AK7. 
* Estudios, diseño y construcción Paseos Comerciales Fase II Puente Aranda.
* Factibilidad, estudios y diseños para la construcción del puente San Agustín y el puente Los Andes. 
*9 Interventoría estudios, diseños y construcción aceras y ciclorutas costado oriental Autonorte entre AC 80 y CL 128B.
*Estudios y diseños proyecto Zona F. 
* Elaboración de la factibilidad, estudios y diseños del proyecto de inserción urbana del Regiotram de Occidente, plataforma peatonal de la AC 26 entre Av. Caracas y AK 10. 
* Ampliación puentes peatonales estaciones Calle 142, Calle 146, Toberín y Mazurén.
* Patios zonales SITP: Aeropuerto, Usme Centro, Alameda El Jardín, María Juana, Perdomo, El Gaco,
El Uval, La Conejera, Suba Gaitana, La Turquesa, Alimentadores Bosa, Corpas, Usme Centro II, Escritorio Fontibón, Bilbao, Perdomo II y Villa Gladys, Patio Calle 191. 
* Plan Parcial de Renovación Urbana (PPRU): Tapas La Libertad, Textilia 
* Plan de regularización y Manejo (PRM) Clínica Nuestra Señora de la Paz, Clínica de la Mujer, Hospital Universitario Méderi, Cruz Roja Colombiana, Dotacional Educativo Siervas de San José, Fundación Amparo de Niñas y Hospital Universitario 
Nacional.
* Estudio de Demanda y Atención de Usuarios EDAU: Centro de Diagnóstico Automotor CDA Tecnocar la 33, CDA Colombia, Centro de Talento Creativo Voto Nacional, Formación para el trabajo SENA Voto Nacional,
* Acción Popular 367 de 2013 Calle 54 Sur de CR 88C a CR 89B Bosa.
* Estudio de Demanda y Atención de Usuarios EDAU: Proyecto hotel Cabrera
</t>
  </si>
  <si>
    <t xml:space="preserve">Las actividades asociadas al SGSI permiten disponer de componentes del DRP y definir y aplicar políticas de seguridad de la información generando que sea confiable, esté disponible y protegida. Así mismo se mejoran los esquemas de contingencia a través del equipamiento ITS no SIRCI en buses, con componentes como los STS (Sistema Tecnológico de Seguridad) para gestión de seguridad y en la gestión de la información generada al interior de los vehículos, lo que orienta y facilita toma de 
acciones y decisiones de operación. Disponer de los GTFS estáticos y dinámicos se traducen en beneficio como fuente de información de rutas, frecuencias, horarios, etc., que soportan la operación y están al servicio de los usuarios. Así mismo la 
definición de nuevas funcionalidades del sistema de control de flota, fortalece su disponibilidad, oportunidad y cobertura de información para la operación del sistema.
</t>
  </si>
  <si>
    <t>En cuanto a cables aéreos implementados, si bien la meta final no presenta avance, se han realizado acciones para avanzar en la etapa antecesora como son los diseños así:
Cable Potosí: El IDU en cooperación con la Agencia Francesa de Desarrollo adelanta los estudios de factibilidad de un cable que prestará el servicio de transporte masivo en la cuenca alta de la localidad de Ciudad Bolívar. Este proyecto, conectará de 
Potosí con la Troncal NQS en la autopista sur y atenderá demanda del municipio de Soacha teniendo en cuenta que dos estaciones se ubican muy cerca al límite del Distrito. El objeto es disminuir el tiempo de viaje de las personas que hoy toman 
transporte formal o informal y gastan más de 30 minutos en llegar a la troncal NQS para Transbordar o abordar el SITP.
Tendrá una longitud de 3,4 km, 4 estaciones y capacidad de movilizar a 4.000 pasajeros/hora/sentido
Cables Santa Fe: En las localidades de Santafé y La Candelaria se construirán dos cables. Uno que conectará la zona que se constituirá en el nodo más importante en términos de movilidad de la ciudad, localizado en la Calle 26 entre carreras 13 y 20 
(a donde llegará Transmilenio, el Metro, el Regiotram y el cable) con el futuro Parque Pueblo Viejo que se encuentra entre la Media Torta y el Parque La Concordia,
El cable de 2.3 km inicia en el sector San Diego, en el proyecto estación Central Metro de Bogotá, sobrevuela la calle 26 pasando frente a la Torre Colpatria, el Parque La Independencia y el barrio La Macarena, donde hace un giro para llegar cerca al 
edificio de ingreso al cerro de Monserrate a un lote propiedad del Distrito. El cable gira sobrevolando la Universidad de los Andes y la Media Torta y finaliza su recorrido en inmediaciones de la Plaza La Concordia, específicamente en el lote destinado 
para el futuro parque Pueblo Viejo, que beneficiará a varias de las universidades del sector y da acceso a la puerta al centro histórico de la ciudad.
El otro cable, conectará los barrios Egipto, Los Laches, El Roció, Las Cruces, entre otros, con la primera línea del metro de Bogotá en la calle segunda por Av. Caracas. Para este cable de 2.9 km la estación de salida se ubica en el barrio San Bernardo, 
conectando el cable con la estación 11 de la Primera Línea del Metro, aledaño a la calle 2 y continúa su recorrido en dirección oriente, hacia el barrio Las Cruces donde se ubica una estación contigua a la Plaza de Mercado Las Cruces. Posteriormente 
el sistema sobrevuela hacia el oriente llegando a Los Laches, El Consuelo y el Rocío para finalizar en el barrio Egipto.
Se estima una inversión de $860.000 millones de pesos.
Se cuenta con estudios de prefactibilidad para la construcción de dos cables en las localidades de Santa Fe y La Candelaria, están por contratarse los estudios de factibilidad.
Posteriormente se realizará la estructuración del proceso para la contratación de los Estudios y Diseños y la Construcción, la cual se espera contratar en el segundo semestre de 2024.
Frente al porcentaje de cable aéreo construido
Si bien la meta final no presenta avance, se han realizado acciones para avanzar en la etapa antecesora como son los diseños así:
Cable San Cristóbal: Este es un proyecto que tendrá capacidad de movilizar a 4.000 pasajeros/hora/sentido en un tiempo estimado de 10 minutos por cada recorrido. Se calcula una inversión de 393.000 millones de pesos, incluyendo interventoría, que 
van a generar alrededor de 3.000 nuevos empleos para los habitantes de la localidad y sus zonas de influencia.
Tendrá una longitud de 2.8 km, 144 cabinas, tres estaciones y 17.000 metros cuadrados de espacio público:
- Se abrió el proceso licitatorio, el cual se declaró desierto. El 1 de diciembre de 2022 fue publicado el proyecto de pliego de condiciones del proceso licitatorio que se adelanta para la construcción, el cual acoge las observaciones presentadas por los
posibles oferentes en el anterior proceso, relacionadas con el riesgo cambiario, el presupuesto estimado para el proyecto, los impuestos y tasas aplicables entre otras.
- Se cuenta con estudios de factibilidad para una segunda línea de cable en la localidad que conecte con Juan Rey</t>
  </si>
  <si>
    <t>No presenta beneficios por cuanto se está en la etapa antecesora. Así las cosas, los beneficios se reflejarán posteriormente, y éstos están relacionados con:
El cable de san cristobal beneficiará a más de 400 mil habitantes de la localidad en 2.8 km de línea con tres estaciones
Respecto a la estructuración de otros cables, el Cable reencuentro Monserrate. tendra más de 7 kilómetros que se conectara con el corredor verde la la séptima en inmediaciones del Museo Nacional y elcentro internacional y conectara el sector 
universitario los barrios los Laches, El Consuelo, El dorado con la estación bicentenario de Transmilenio y con la PMLM en el parque tercer Milenio.</t>
  </si>
  <si>
    <t xml:space="preserve">En lo que va corrido del Plan de Desarrollo, el Sector Movilidad ha logrado la conservación de 118.6km. En lo que respecta a la vigencia 2022, a septiembre se logró la conservación de 61.74km. A continuación, el detalle por entidad: SDM - En lo transcurrido del Plan de Desarrollo se han mantenido 25.65 km de cicloinfraestructura existente. En lo que respecta a la vigencia del año 2022 se han mantenido 17 km de cicloinfraestructura existente. Entre los años 2020 y 2022 se han 
intervenido 6 localidades las cuales son: Kennedy, Suba, Santa Fe, Teusaquillo, Fontibón y Ciudad Bolívar. Se realizó la priorización de la cicloinfraestructura existente en las diferentes vías del Distrito. Posteriormente se realizó la asignación al contrato 
de obra correspondiente a cada zona, para su mantenimiento en campo, bajo la supervisión de actividades por parte de la Entidad.
Las principales ciclorutas a las cuales se les ha adelantado mantenimiento fueron las siguientes: Av. Boyacá, KR 59A entre AC 134 y CL 135. KR 16 entre CL 35 y CL 36 y entre CL 60 y CL 61. CL 17 entre KR 98 Y KR 100 y entre KR 116A y 124. CL 17
entre KR 97A KR 136, Plaza Galerías (Calle 53B entre Carrera 24 y Carrera 25). Autopista Sur, Cra. 73 desde La Calle 35 B Sur hasta la Calle 40 H Sur, Av. Ciudad de Cali desde AV. 26 hasta A.C 80, Cra. 73 desde la Calle 38c Sur hasta la Calle 40c 
Sur.
IDU - En lo corrido del Plan de Desarrollo se han conservado 35,60 km de ciclorutas, con los cuales se alcanza un 32,36% de avance frente a la meta del PDD, a través de los contratos:
IDU-1639-2019 mantenimiento espacio público y ciclorutas; IDU-1300-2020; IDU-1272-2020 mantenimiento espacio público y ciclorutas; IDU-1691-2020 mantenimiento espacio público y ciclorutas; IDU-1695-2020 conservación MVI; IDU-1786-
2021; IDU-1791-2021; IDU-1782-2021; 
IDU-1794-2021 mantenimiento de ciclorutas; IDU-1787-2021; IDU-1792-2021.
UAERMV_ En lo corrido del Plan de Desarrollo se han conservado 57.35km de cicloinfraestructura. En la vigencia 2022 se ejecutaron 21.09 Km de la Cicloinfraestructura, dentro de las principales localidades intervenidas están Engativa, Kennedy, 
Fontibón, Teusaquillo, Puente Aranda, Antonio Nariño y Bosa.
Se han intervenido las cicloinfraestructuras de Zona Franca, El Porvenir, El tintal, Ciudad Jardin, Timiza, Alamos, Escocia, Kasandra, Venecia, Arborizadora, Corabastos, Bosa Occidental y Calandaima, Galán, entre otras.
</t>
  </si>
  <si>
    <t>Con la ejcución de los contratos a traves del programa de conservación se genera una movilidad sostenible para estimular el uso de la bicicleta con adecuada cicloinfraestructura y condiciones de seguridad para el desplazamiento de los biciusuaros, 
con lo cual se pretende generar conectividad entre los tramos de la red existente ya que en ocasiones se ve interrumpida o discontinua, adicional a esto se pretende motivar a los biciusuarios al uso continuo de la bicicleta al proporcionarle condiciones 
adecuadas dentro de sus recorridos, incentivando el uso de transporte multimod
Adicionalmente en la medida que los diferentes actores viales han conocido y respetado dichas zonas, estas han cumplido con su función haciendo que el desplazamiento de los mismos por las vías se haya realizado de manera más segura y ágil</t>
  </si>
  <si>
    <t>Kilómetros de malla vial conservada_ la meta no presenta retrasos.
Kilómetros de malla vial conservada con fuente SGR_
Retrasos: Durante la ejecución se han presentado dificultades, que como consecuencia dejan un retraso del proyecto, motivado por dos causas principales, la primera, la fuerte ola invernal en la localidad de Sumapaz y la segunda, cambios en la 
topografía de la zona, que representó una actualización del componente topográfico.
Solución: Con el fin de solucionar el retraso presentado, la UMV formuló 4 alternativas de compresión del cronograma, que se resumen así, 1) anticipar las obras de calzadas únicamente usando como predecesora los subdrenes e instalación de tubería, 
2) ejecución simultánea de dos frentes en el tramo San Antonio, 3) se adelantará el inicio de obra en la cuenca del Río Blanco y finalmente se dará un incremento en la producción de fresado en un 25%, trabajando en horarios no hábiles.</t>
  </si>
  <si>
    <t xml:space="preserve">En lo que va corrido del Plan de Desarrollo, por parte del Sector Movilidad se ha logrado la conservación de 1.641,35 km carril de malla vial. En lo que respecta a la vigencia 2022 se logró la conservación de 756,02 km. A continuación, el detalle por 
entidad:
IDU ¿ En lo corrido del Plan de Desarrollo se presenta un avance de 497,67 km-carril que frente a la meta plan de desarrollo de 938 km carril equivale al 53,06% de cumplimiento, acciones que se han realizado a través de los programas de 
conservación así:
Mantenimiento de 266,99 km-carril malla vial arterial/ mantenimiento 169,28 km-carril de malla vial intermedia/ rehabilitación de 1,60 km-carril de malla vial intermedia / mantenimiento de 59,8 km-carril de malla vial rural
UAERMV- En lo corrido del Plan de Desarrollo se presenta un avance del 1.143,68km-carril de malla vial. En lo que respecta a la vigencia 2022 se intervinieron 490.81km, así:
451.01 km-carril de malla vial local e intermedia, 30.12 km- carril de obra de malla vial arterial y 9,68 km- carril de malla vial rural para un total de 490.81 km carril intervenidos, y se taparon un total de 319.712 huecos. Entre las principales vías 
intervenidas se destacan La esmeralda Calle 44 A, Nicolas de Federman Calle 57, El Virrey Carrera 6, Molinos Norte Carrera 11, Fatima Calle 53 A sur, Santa Lucia Transversal 19 sur, La Castellana Carrera 48, 20 de Julio Calle 22 sur, Autopista Musu, 
Villa Alsacia 2 Calle 10, Chico Norte Calle 96, Alfonso Lopez Calle 50, Calle 106, Dindalito Carrera 96 Bis sur, Comuneros Calle 4, Carrera 9 entre calles 100 y 140, Conexión Bosa Soacha Calle 31 sur, Fontibón Calle 22d, Calle 13 Sector 92a 138, Calle 
151, Calle 154, Calle 156, Calle 64, entre otras.
Así mismo las intervenciones realizadas corresponden a: Parcheo/Bacheo, Cambio de carpeta, Rehabilitación en flexible, Cambio de losa, Rehabilitación en rígido, Sello de fisuras, y fresado estabilizado.
En el año 2022, se atendieron 45 emergencias, así:Adecuación de vías con fresado (2) en la localidad de Bosa, limpieza y levantamiento de material localidad Candelaria (1), localidad de Santa fe (3), localidad de Suba (3), lavado de superficie y 
reconformación de Calzada (3) en la localidad de Chapinero, retiro de material para escombrera y retiro de material y despeje de la vía en su totalidad por desprendimiento de material del talud adyacente a la vía en la localidad de Ciudad Bolívar, 
adecuación de vía con fresado estabilizado en la localidad de Puente Aranda(3), la localidad de Rafael Uribe Uribe (2) localidad de Santafe (2), levantamiento y remoción de material de escombro y respectivo acopio en la entidad para posterior desecho 
en la escombrera en la localidad de San Cristóbal (5), Actividades de limpieza, barrido levantamiento de Troncos, madera ramas y escombros (15), reconformación de Calzada en la localidad de Usaquen (1) y en la localidad de Usme (2). 
Es importante destacar que la UAERMV ha logrado beneficiar alrededor de 6.738.099 habitantes del distrito capital, reduciendo sus tiempos de desplazamiento y mejorando las condiciones de movilidad, seguridad y calidad de vida.
UAERMV - Kilómetros de malla vial conservada con fuente SGR
Con corte a 31 de diciembre de 2022, el proyecto de mejoramiento de vías terciarias en Bogotá, presenta los siguientes avances, 10 tuberías instaladas en el tramo de Unión Tunales y 9 alcantarillas terminadas, incluyendo obras de arte en el mismo 
tramo. Por otro lado, se han instalado filtros, con las siguientes cantidades por tramo, Unión Tunales con 3.057 ml, Capitolio con 1.216 ml y San Antonio II con 1.295 ml, lo que representa un total de 5.568 metros lineales de filtros instalados.
</t>
  </si>
  <si>
    <t>En cuanto a la conservación de malla vial, se pretende mantener en buen estado lla malla vial arterial, intermedia y tratar que las curvas de deteriodo de dichas malla no disminuyan con lo cual se disminuyen costos en las intervenciones a futuro a 
realizar</t>
  </si>
  <si>
    <t>La meta no reporta retrasos.</t>
  </si>
  <si>
    <t>El avance acumulado PDD entre julio de 2020 y diciembre de 2022 equivale a un total de 206.993 estudiantes beneficiados a través de los tres proyectos de Ciempiés, Al Colegio en Bici y Ruta Pila. Frente a los viajes realizados a través de los cuales se
han beneficiado los estudiantes, se cuenta con un total de 1,877,469 viajes de los cuales corresponden 1'394.740 a Al Colegio y Bici y 482.729 a Ciempiés, 175 visitas a colegios y 11.850 vehículos de transporte escolar controlados mediante Ruta Pila. 
Para 2022 se beneficiaron 136.926 estudiantes con el inicio de la operación a la par que el calendario escolar en las 20 localidades donde operan los proyectos "Al Colegio en Bici", "Ciempiés Caminos Seguros" y "Ruta Pila". A continuación, se brinda 
mayor detalle para los avances de la vigencia 2022: 
El proyecto Al Colegio en Bici, ha logrado beneficiar a 8.516 estudiantes matriculados en instituciones educativas distritales de las 15 localidades donde opera con las rutas de confianza, polígonos de Bici-parceros y Actividades Extracurriculares. De los 
8.516 estudiantes beneficiados, 6.005 se encuentran entre los 5 y los 13 años y 2.511 de 14 en adelante. Adicionalmente, 3.450 son niñas y 5.066 son niños y se encuentran distribuidos en las siguientes localidades: Antonio Nariño 162, Barrios Unidos 
115, Bosa 2.087, Ciudad Bolívar 344, Engativá 1.083, Fontibón 258, Kennedy 935, Mártires 153, Puente Aranda 350, Rafael Uribe Uribe 487, San Cristóbal 52, Suba 1.579, Tunjuelito 448, Usaquén 275 y Usme 188. Por último, con relación con 
población en condición de discapacidad se cuenta con 176 estudiantes y por comunidad, a la fecha se tiene 74 estudiantes pertenecientes a la comunidad afro y 40 a la comunidad indígena. 
Ciempiés, alcanzó 2410 beneficiarios matriculados en instituciones educativas distritales entre las 6 localidades donde opera el programa: Suba, Bosa, Mártires, Ciudad Bolívar, Usaquén y Kennedy. De los 2410 estudiantes beneficiados, 2172 se 
encuentran entre los 5 y los 13 años y 238 de 14 en adelante. Adicionalmente, 1266 son niñas y 1144 son niños y se encuentran distribuidos de la siguiente manera en las localidades: Bosa 690, Suba 614, Kennedy 347, Mártires 234, Ciudad Bolívar 223
y Usaquén 302 Respecto a las etnias se cuenta con la participación de 25 beneficiarios. Entre ellos 26 de comunidades afro y 12 estudiantes pertenecientes a las siguientes comunidades indígenas: Muisca (3), Andoque (1), Cocama (1), Matapi (1), Pijao
(1), Zenú (1) y Kichwa(1), Achagua (2) y Bara (1).
Ruta Pila: Con fecha de corte al mes de diciembre, se han implementado actividades de control en corredores viales e instituciones educativas, enfocadas en verificar las condiciones de seguridad de los vehículos de transporte escolar que se desplazan 
por la ciudad, de esta manera se han verificado 7.850 rutas escolares, buscando mejorar la calidad de viaje de los estudiantes que utilizan este medio de transporte escolar, con un total de 126.000 niños beneficiados.</t>
  </si>
  <si>
    <t xml:space="preserve">Se han mejorado las experiencias de viaje mediante prácticas de seguridad vial, enseñanza de conocimientos en movilidad, cultura vial y modos sostenibles de transporte para que las niñas, niños apliquen en sus diferentes recorridos.
-Se han realizado los acompañamientos en los recorridos de las NNA hacia los parques y espacios públicos de manera segura.
- Se brindaron espacios más seguros y eficientes para el desplazamiento diario de la población infantil y adolescente en Bogotá, mediante medidas preventivas y correctivas enfocadas en los vehículos de transporte escolar que se mueven por la ciudad.
-Se crearon espacios para que la población escolar explore su entorno de manera segura y feliz. Esto, con el objetivo de que reconocieran su ciudad, la disfrutaran y se apropiaran de ella.
-Se logró coadyuvar al acceso y la permanencia en las instituciones educativas, mediante la realización de actividad física e incentivos del deporte como hábito y práctica saludable para sus vidas.
-Se realizaron aportes al proceso formativo de niñas, niños y adolescentes a través de la actividad física al aire libre, acciones pedagógicas y recreativas.
</t>
  </si>
  <si>
    <t>La meta no presenta retrasos en ninguno de sus indicadores.</t>
  </si>
  <si>
    <t>En lo corrido del Plan de Desarrollo, se ha ejecutado un total de 68,01 km/carril de vía, correspondiente al 46,58% de cumplimiento de la meta PDD en avances en las siguientes obras:
AV. TINTAL DE AV. V/CIO. A AV. BOSA. IDU-1543-2018
AV ALSACIA (AV BOYACÀ - AV CALI) IDU-1539-2018 
AV. ALSACIA (AV TINTAL A AV CALI) y AV TINTAL DE AV M. CEP VARGAS A AV ALSAC
IDU-1540-2018
AV BOSA DESDE AV C CALI HAST AV TINTAL IDU-1533-2018
AV. JOSÉ C. MUTIS DE AK. 70- AV. BOYACA IDU-1851-2015
AV. ELRINCON KR91 AC131A D CR91 AV. CONEJE IDU-1725-2014
AV. L. GOMEZ AK9 D CL183 A CL193 IDU-1551-2017
AV. EL RINCON DE AV. BOYACA A CRA.91 IDU-1550-2018
TRONCAL CARACAS TR 1 EST. ALIMENTADORA IDU-1601-2019
AV CERROS - AV CIRCUNVALAR - IDU-1348-2021
TRONCAL AVENIDA 68 Grupos 3, 4, 7 y 9 IDU-347-2020, IDU-348-2020, IDU 351-2020, IDU- 353-2020
TALUD AMAPOLAS IDU-1199-2020
Convenio CC el EDEN IDU-1452-2017
ESTRUCTURA PERIMETRAL PARQUE GILMA JIMEN IDU-929-2020
AV. 68 ALIMENTADORA LINEA METRO- GP 2
AV. BOYACA DESDE AC 170 HASTA AC 183
TM CIUDAD DE CALI -LOTE 1
Acción popular la Victoria
En cuanto al Porcentaje de estructuración del proyecto de la Avenida Centenario entre la Carrera 50 y el límite del Distrito, como parte del borde occidental se presenta el siguiente avance:
Borde Occidental Calle 13 - ALO Centro - Calle 80: Se suscribió convenio con la Gobernación y la Nación (ICCU-ANI-IDU). El proyecto tiene una extensión de cerca de 22 km (Calle 13, ALO centro entre calle 13 y calle 80, calle 63 entre la carrera 122 
y la vía Cota-Funza, e intercambiador en la Calle 80 a la altura del Río Bogotá), se ha avanzado en la estructuración de fuentes de financiación del proyecto. Actualmente la ANI en el marco de este convenio tiene pendiente decidir la prefactibilidad de 
una iniciativa privada presentada por ODINSA S.A. que tiene como objeto el Desarrollo del Aeropuerto EL DORADO, el cual incluiría en su factibilidad el desarrollo de la calle 63.
Porcentaje de avance físico en los estudios del proyecto financiado con regalías denominado 'Canal Salitre', este proyecto, posterior a los análisis técnicos tuvo una inviabilidad de tipo técnica y financiera, por lo cual no fue procedente continuar con la 
etapa subsiguiente. El proyecto cumplió su objetivo, correspondiente a mejorar la información para la toma de decisión en su etapa de factibilidad. La liquidación con glosas corresponde al pago de informe técnico final e informe ejecutivo, los cuales ya 
fueron cerrados y adicionalmente se deberán entregar reportes de información estandarizada, cesión de derechos de autor y obligaciones en materia SST los cuales se encuentran en trámite. La interventoría de este contrato está en liquidación judicial
Porcentaje de avance físico en los estudios del proyecto financiado con regalías denominado 'Avenida 170', este proyecto tuvo que ser finalizado en su etapa de factibilidad, teniendo en cuenta que los resultados arrojados por los análisis de beneficio costo (la cual es menor a 1) demostraban que las alternativas eran no viables. Lo cual implicó que el contrato con el cual se desarrollaba el proyecto se encuentra en proceso de liquidación.
Porcentaje de avance físico en los estudios del proyecto financiado con regalías denominado 'ALO, El proyecto culminó en fase de estudios y diseños con excepción del tramo norte por restricción de tipo ambiental sobre la reserva Thomas Van Der 
Hammen.
Porcentaje de avance físico en los estudios del proyecto financiado con regalías denominado 'Autonorte', este proyecto tuvo que ser finalizado en su etapa de factibilidad, teniendo en cuenta que los resultados arrojados por los análisis de beneficio costo, demostraban que las alternativas eran no viables. Lo cual implicó que el contrato con el cual se desarrollaba el proyecto se encuentra en proceso de liquidación.
Porcentaje de avance físico en los estudios del proyecto financiado con regalías denominado 'Circunvalar de Oriente', el proyecto culminó con la totalidad de acciones de factibilidad, así como de estudios y diseños de detalle. Los análisis técnicos 
corresponden a un proyecto viable, sin embargo, existe la posibilidad de generar ingeniera de valor para optimizar dichos diseños. El contrato principal se encuentra liquidado con glosas de las cuales el informe técnico final y el informe ejecutivo ya  fueron cerrados, encontrándose en trámite el informe social, informe SST, cesión de derechos, entrega de firmas y estandarización de información.
Porcentaje de avance físico en los estudios del proyecto financiado con regalías denominado 'Avenida Boyacá'. este proyecto tuvo que ser finalizado en su etapa de factibilidad, teniendo en cuenta que los resultados arrojados por los análisis de 
beneficio-costo (la cual es menor a 1) demostraban que las alternativas eran no viables. Lo cual implicó que el contrato con el cual se desarrollaba el proyecto se encuentra en proceso de liquidación</t>
  </si>
  <si>
    <t xml:space="preserve">Con la contratación de las etapas antecesoras se pretende avanzar en el ciclo de vida de los proyectos y por otra parte con la la contrucción de nuevas vias se espera ejecutar proyectos integrales incluyendo en su desarrollo entre otras la 
planeación, evaluación y priorización de proyectos y la construcción de la infraestructura requerida bajo los parámetros de diseño que concuerden con la denominación de las vías y andenes según el Plan de Ordenamiento Territorial POT, garantizando 
especificaciones técnicas que hagan posible una movilidad eficiente para optimizar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
Este proyecto junto con la Avenida Longitudinal beneficiará a más de un millón trescientos mil bogotanos de las localidades de Fontibón, Puente Aranda y Engativa, generando impactos positivos como ahorros en los tiempos de viaje, costo operacional 
de vehículos privados, ahorro en emisiones contaminantes y ahorro en accidentalidad, entre otros .
Así mismo, cuando comience su construcción, se estima en 41.592 los empleos generados para todo el proyecto, calculados conforme a la metodología de Fedesarrollo, lo que ayudará a la reactivación económica de la ciudad y de la región.
</t>
  </si>
  <si>
    <t xml:space="preserve">La meta no presenta retrasos en ninguno de sus indicadores.
</t>
  </si>
  <si>
    <t xml:space="preserve">En lo transcurrido del Plan de Desarrollo, se han implementado 67,57 km de cicloruta, con los siguientes avances por Entidad:
SDM_en lo transcurrido del Plan de Desarrollo, se han implementado 48,58 km de cicloruta, de estos en la vigencia del año 2022 se han implementado 7 km de cicloruta. Entre los años 2020 y 2022 se han intervenido 10 localidades las cuales son: 
Fontibón, Kennedy, Usaquén, Suba, Barrios Unidos, San Cristóbal, Santa Fe, Candelaria, Chapinero y Teusaquillo. Se realizó la priorización de los corredores viales en los cuales se evaluó la viabilidad de la implementación de las ciclorutas segregadas 
en calzada. Posteriormente se realizó el diseño de señalización correspondiente, la asignación al contrato de obra de cada zona para su implementación en campo, bajo la supervisión de actividades por parte de la Entidad.
Los principales proyectos de cicloruta a destacar son los siguientes: Par vial AK 7 y KR 8 entre Calle 12B y Calle 22 Sur. AK 7 entre Calle 32 y Calle 106. AC 13 entre Carrera 100 y Carrera 135. AK 9 entre Calle 170 y 127, AK 11 entre Calle 127 y Calle 
116 y Calle 106 entre AK 11 y AK 7. Carrera 73 entre Av. Boyacá y AV. Primero de Mayo. Plaza Galerías (Calle 53B entre Carrera 24 y Carrera 25), Suba la KR 91 con AC 127 hasta KR 85 con calle 128 B, Cicloruta Par Vial CL 66 - CL 68., cicloruta 
KR 50 con AC 63, Calle 11 entre Kra 7 y Kra 10.
IDU_ En lo corrido del Plan de Desarrollo, se ha ejecutado un total de 18,99 km de cicloruta que representan el 8,48% de avance frente a la meta del Plan del IDU de 224 km y distribuidos de la siguiente manera:
AV. TINTAL DE AV. V/CIO. A AV. BOSA. IDU-1543-2018
 AV BOSA DESDE AV C CALI HAST AV TINTAL IDU-1533-2018
AV.JOSÉ C.MUTIS DE AK. 70- AV.BOYACA IDU-1851-2015
AV.ELRINCON KR91 AC131A D CR91 AV.CONEJE IDU-1725-2014
CICLO RUTA CL 116 - CRA 11 - CRA 50 - IDU-1828-2015
CANAL MOLINOS ENTRE AK 9 Y AUTONORTE IDU-1518-2020
TRONCAL CARACAS TR 1 EST. ALIMENTADORA IDU-1601-2019
AV ALSACIA (AV BOYACÀ - AV CALI) IDU-1539-2018
PUENTE VEHICULAR AUTO NORTE POR CL 153 IDU-1737-2021
ANDENES CL92 Y CL94 DE CR 7 A AUTONORTE IDU-1279-2020
TRONCAL AVENIDA 68 GP 4 Y 9 IDU-348-2020, IDU-353-2020
AV. 68 ALIMENTADORA LINEA METRO - GP 7 IDU 351-2020
AV TINTAL DE AV M. CEP VARGAS A AV ALSAC IDU-1540-2018
CORREDOR AMBIENTAL CANAL CORDOBA IDU-1650-2019
ACCIONES POPULARES IDU-408-2021 IDU-1553-2020
ESTRUCTURA PERIMETRAL PARQUE GILMA JIMEN IDU-929-2020
CONVENIOS (CC el EDEN y Convenio CC la Multiplaza y sector de la Felicidad) IDU-1452-2017 IDU-1233-2017
AV.L.GOMEZ AK9 D CL183 A CL193
AV. 68 ALIMENTADORA LINEA METRO- GP 5
TM CIUDAD DE CALI -LOTE 1 Y LOTE 2
AV.BOYACA DESDE AC 170 HASTA AC 183
Portal 80
En cuanto al porcentaje de ejecución de los diseños y las obras requeridas en el proyecto denominado Ciclo Alameda Medio Milenio:
El Contrato IDU-1573 de 2020 correspondiente a la Consultoría para los ESTUDIOS Y DISEÑOS DE LA CICLO-ALAMEDA MEDIO MILENIO, EN LA CIUDAD DE BOGOTÁ D.C., terminó el 17 de septiembre de 2022, y el contrato IDU-1654 de 2020 
correspondiente a la respectiva interventoría terminó el 24 de octubre de 2022, ambos contratos finalizaron por vencimiento del plazo de ejecución contractual. En desarrollo del Contrato se recibieron, debidamente aprobados por la Interventoría, el 37% 
de los productos del proyecto establecidos contractualmente.
No obstante lo anterior de acuerdo con la disponibilidad de recursos asignados para el proyecto, actualmente la Entidad se encuentra estructurando el respectivo proceso de contratación para la ejecución de las obras de los primeros dos tramos del 
proyecto priorizados por la administración, que van desde la Av. Boyacá con Carrera 24 hasta la Calle 24 con Carrera 19B, a través de un contrato mixto que cuenta con una corta etapa de consultoría que complementará y ajustará parte de los diseños 
requeridos para el proyecto; proceso cuya proyección está prevista para que se adjudique durante el primer semestre del año 2023 y el inicio de las obras se tiene previsto hacia el segundo semestre del año 2023. Las obras de los tramos 3 y 4, que van 
de la Calle 26 con carrera 19B a la Carrera 53 con Calle 108, se encuentran supeditadas al análisis y definición del tipo de intervención a realizar y la asignación de recursos, durante la siguiente vigencia, para su posterior ejecución.
Por ultimo frente al indicador de km de ciclovía temporal en operación, la SDM reporta un total de 5.3km de cicloruta.
</t>
  </si>
  <si>
    <t>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t>
  </si>
  <si>
    <t>Si bien es cierto la meta no presenta avance, a la fecha se encuentran contratados 39 puentes vehiculares para su construcción y reforzamiento, una vez se culminen dichos contratos se reporta su ejecución, en puntos como:
- INTERSECCION AV. RINCON X AV. BOYACA (3) IDU-1550-2018
- INTERSECCION AV ALSACIA POR AV BOYACA (2) IDU-1539-2018
CORREDOR AV. TINTAL - AV. ALSACIA GRUPO 2 (1) IDU-1540-2018
- PUENTE VEHICULAR AUTO NORTE POR CL 153 (1) IDU-1737-2021
- PTE VEH.JUAN AMARILLO CL129C (CR99 A 100) (1) IDU-1636-2020
- INTERSEC. AUTOP SUR POR AV BOSA (3) IDU-1013-2022
-EXTENSIÓN TRONCAL CARACAS TRAMO I - MOLINOS AL PORTAL USME (2) IDU-1601-2019
-TRONCAL AVENIDA 68 (13) IDU-345-2020; IDU-346-2020; IDU-349-2020; IDU-351-2020; IDU-352-2020
-TRONCAL AVENIDA CIUDAD DE CALI TRAMO 1 - GRUPO 4 (1) IDU-1670-2020
- REFORZAMIENTO ESTRUCTURAR PTE VEHICULARE (5) IDU-1826-2021
- REFORZAMIENTO ESTRUCTURAR PTE VEHICULARE (3) IDU-1825-2021
-REFORZAMIENTO ESTRUCTURAL PUENTES VEHICULARES VIGENCIA 2021 GRUPO 3 (4)
Además de lo anterior se ha realizado mantenimiento de 14 puentes vehiculares a través de los siguientes contratos:
Mantenimiento
IDU-1710-2020
Puentes conservados
1. TV 60 (Av. Suba) por CL 117 (Humedal Córdoba)
2. Av. Iberia (Cl 134) por Av. Paseo de Los Libertadores (norte)
3. Av. Chile (AC 72) por Av. Boyacá
4. Av. Pepe Sierra por Av. Paseo de los Libertadores
5. Av. Medellín por Av. del Congreso Eucarístico (costado norte)
6. Av. Pepe Sierra por Av. Boyacá
7. Av. Medellín por Avenida Boyacá (norte)
8. Av. Medellín por Avenida Boyacá (central)
9. Av. Ciudad de Cali por Calle 80
IDU-1711-2020
Puentes conservados
1. Av. Ciudad de Quito por DG 61C (Canal Salitre)
2. Av. José Celestino Mutis por Av. del Congreso Eucarístico (norte)
3. Av. José Celestino Mutis por Av. del Congreso Eucarístico (sur)
4. Av. de las Américas por Av. Ciudad de Quito
5. Av. Carlos Lleras Restrepo Por Av. Alberto Lleras Camargo
Frente al porcentaje de avance físico del proyecto financiado con regalías denominado 'Construcción del Intercambiador NQS-BOSA', el proyecto tiene un avance de cero, debido a que no se ha iniciado trabajos de obra directa, los cuales se tienen 
previstos para el primer trimestre del año 2023. Sin embargo, el IDU ha avanzado con la gestión predial, de tal manera que cuenta con 126 predios ofertados de 132, de los cuales ya se han suscrito 87 promesa de compraventa con propietarios, 18 
predios en proceso de negociación, lo que implica que 21 predios hayan iniciado proceso de expropiación. Se han recibido 32 predios para iniciar con el proceso de demolición.</t>
  </si>
  <si>
    <t>Con la construccion , reforzamiento o mantenimiento de los puentes vehiculares se pretende dar conectividad a las vias con lo cual se disminuye los tiempos de de recorrido vial.</t>
  </si>
  <si>
    <t>La meta no presenta retrasos, sin embargo desde la Empresa Metro se presentó alguna dificultad con la actividad del vagón escuela, actualmente se avanza en los trabajos de alistamiento físico y pedagógico, sin embargo, en atención al cronograma de
adecuación presentado por el concesionario, el vagón escuela será abierto a la ciudadanía a finales del 2023, motivo por el cual se prorrogó el Contrato 142 de 2022 y se continúan desarrollando las actividades previstas, las cuales están armonizadas 
con el avance técnico de la Primera Línea del Metro de Bogotá.</t>
  </si>
  <si>
    <t>En lo que va corrido del Plan de Desarrollo, el Sector Movilidad ha logrado un avance en la definición e implementación del 0,98. En lo que respecta al 2022, se logró un avance del 0,48. A continuación las principales acciones:
SDM _ Durante la vigencia, el desarrollo de la estrategia de cultura ciudadana estuvo enfocado en campañas, pedagogía y comunicación externa.
Uno de los principales componentes de comunicación externa es la construcción de contenidos y mensajes con un lenguaje incluyente y claro; manejando mensajes donde se priorizó una comunicación directa, inclusiva, cordial y de corresponsabilidad 
en el sentido de que todos los ciudadanos aporten a la protección de la vida en el sistema de movilidad. Entre los temas promocionados fue el uso de los modos alternativos de transporte, en especial la bicicleta y la obligatoriedad desde el 2 de enero 
del registro bici.
 Las acciones desarrolladas en términos de pedagogía estuvieron relacionadas con:
- Diseño de contenidos innovadores, herramientas lúdicas y artísticas a partir de tres ejes estructurales: Visión cero, Educar en Infraestructura y cultura para la Movilidad; así como, del conocimiento sensible y de lenguajes escénicos y estructuración de 
estrategias y módulos de capacitación acordes a los lineamientos pedagógicos y programas en seguridad vial y cultura para la movilidad:
- Implementación de acciones pedagógicas en instituciones educativas, empresas, entidades y en el espacio público. Para la vigencia, se desarrolló el 100% de la meta proyectada. En estas jornadas se promovió la cultura ciudadana, los hábitos y 
comportamientos necesarios para un sistema de movilidad seguro
- Evaluación tanto del grado de satisfacción como del impacto de las acciones donde se evidenció el 93,67% de satisfacción y cambios en las percepciones, apropiación de conocimientos y disposición a comportamientos protectores de la vida en el 
sistema de movilidad.
 Ahora bien, en campañas de cultura ciudadana, se implementaron las campañas -Un Pedido por la Vida-, -Tú Eres el Corazón de la Nueva Movilidad- y -#NiCincoMinuticos- , las cuales constan de acciones lúdico-pedagógica en espacio público, con
lo cual se logró alcanzar a domiciliarios y transeúntes de las zonas de intervención, generando conocimientos sobre el cuidado de la vida propia y la de los demás actores viales, haciendo énfasis tanto en no exceder los límites máximos de velocidad en 
las vías, promoción de estacionar en los sitios permitidos y autorizados y en el respeto al peatón como el actor vial más vulnerable y el más importante en la movilidad sostenible.
 Las acciones de comunicación externa, pedagogía y campañas se diseñaron e implementaron teniendo en cuenta las necesidades y características de los diferentes grupos poblacionales, haciendo uso de lenguaje incluyente y buscando generar 
espacios de reflexión y visibilización de la necesidad de disminuir las brechas en la garantía de derechos, en especial para las mujeres, invitando a la promoción de la reducción de la desigualdad especialmente en lo referido a la movilidad.
UAERMV _ Se realizaron acciones asociadas al Objetivo 1, en la actividad: Campaña ahora somos más ciudadanos, se realizó el Conversatorio Cultura Ciudadana UMV, en el cual se socializó la estrategia de Cultura Ciudadana de la entidad, así como 
los retos para su implementación y las lecciones aprendidas. 
En cuanto al Objetivo 2, se continuo con la socialización de Charlas sobre el respeto y la prudencia en los frentes de obra, ubicados en el Barrio Santa Teresa de la Localidad Usaquén, Barrio Casablanca y Barrio Prado Veraniego en la Localidad Suba; 
Barrio Chico Norte en la Localidad Chapinero y el Barrio Villemar en la Localidad de Fontibón. Otra de las acciones de esta actividad se basó en la prevención de la violencia hacia las mujeres en el espacio público donde se realizaron charlas por parte 
de la Secretaría Distrital de la Mujer en los frentes de obra ubicados en las Localidades de Chapinero y Suba. Así mismo, la actividad Humanizando la labor del personal en obra, en la cual se implementaron los rituales de inicio y fin en el frente de obra 
y se aplicaron las encuestas de percepción ciudadana sobre el desarrollo de las obras y las encuestas de percepción de riesgo y percepción de seguridad en el desempeño de su rol en obra. 
Con respecto a las actividades transversales, se destaca la asistencia a la mesa intersectorial de cultura ciudadana, y la mesa Institucional Ampliada de la estrategia SOMOS.
TMSA _ En el marco de la implementación de la estrategia de Cultura Ciudadana, para la vigencia 2022 se desarrollaron 66 acciones. A continuación, se mencionan las principales actividades:
Implementación de 3 tácticas de cultura denominadas co-creando, dirigiendo y haciendo el cambio.
A través de las redes sociales oficiales de la entidad, se difundieron contenidos de interés sobre el sistema, con el fin de facilitar la información al usuario aportando en su experiencia de viaje.
Se generaron 36 noticias en medios de comunicación relacionadas principalmente con beneficios, servicios y aspectos positivos del sistema.
Se diseñaron e implementaron 3 estrategias de gestión social , orientadas en los canales de comunicación que emplea este equipo, buen trato y humanización, y los beneficios del equipo en sus territorios de intervención.
Se ejecutaron labores internas de socialización en la entidad, sobre los proyectos estratégicos de la misma, en el marco de la Cultura Organizacional.
Se aportó en la implementación de actividades en el marco de las políticas públicas de Mujer y Género y Derechos Humanos.
Se llevaron a cabo 2 acciones a través de campañas de sensibilización dirigidas a ciudadanía sobre la labor del equipo de atención en vía.
EMB_A continuación, se describen las actividades más relevantes realizadas durante las vigencias 2020 a 2022:
1. Para el año 2021 se inició la ejecución del proyecto debido a que, se asignaron recursos a la meta de gestión No. 2 para promover el 100% de los espacios de participación ciudadana activa. Así las cosas, ese año culminó con la estructuración del 
Plan de Acción de Cultura Ciudadana para la PLMB-T1, instrumento que será desarrollado en el resto del cuatrienio.
2. En el año 2022 se asignaron recursos para las 3 metas de gestión que componen el proyecto, escenario que permitió contar con la prestación de los servicios del operador logístico para las actividades de comunicación, participación ciudadana, 
gestión social y cultura ciudadana de la Empresa Metro de Bogotá, permitiendo la formalización del plan de acción de cultura ciudadana, así como la aplicación de instrumentos de medición de opinión publica en desarrollo de dicho plan. 
3. En conjunto con la Secretaría de Educación del Distrito se definió y perfeccionó la metodología de participación de la EMB en los colegios de Bogotá con la actividad: Recorriendo nuestro metro, escenario que impactó aproximadamente a 2230 
estudiantes. Así mismo, se avanzó en el documento borrador de la cátedra Cultura Ciudadana para colegios de Bogotá y, se adelantó la actividad: Somos Protagonistas de Nuestro Metro con estudiantes del Distrito y funcionarios de la EMB. 
4. Se adelantaron mesas técnicas con la Subsecretaría de Cultura Ciudadana con el fin de perfeccionar las condiciones para la contratación y asesoría en temas estadísticos de la encuesta de percepción y cultura ciudadana.
5. Se realizó el Foro de Oportunidades y Desafíos para la Inclusión y la Equidad impactando a 532 ciudadanos.
6. Se inauguró el prototipo del vagón de la PLMB que operará como vagón escuela, en esta actividad se llegó a 593 ciudadanos</t>
  </si>
  <si>
    <t>Las campañas de cultura ciudadana para el sistema de movilidad, con enfoque diferencial, de género y territorial, benefician a la ciudad en los siguientes aspectos:
- Se promovió un enfoque de cultura ciudadana, fomentando la auto y mutua regulación en el Sistema.
- Promoción de actitudes de solidaridad y tolerancia para la fase de obras; aprovechamiento, respeto, cuidado y uso adecuado en las zonas de obra del metro.
- La ciudadanía Bogotana mostró mayor disposición a utilizar medios alternativos de transporte como la bicicleta, vehículos eléctricos, así como aumentar las prácticas de eco-conducción
- Fortalecimiento del conocimiento de normatividad, señales de tránsito y cultura ciudadana asociada a la corresponsabilidad y autorregulación, conciencia ciudadana y el uso seguro de la infraestructura</t>
  </si>
  <si>
    <t>En lo corrido del PDD la Secretaría Distrital de Movilidad ha avanzado en la implementación de un instrumento para la medición y seguimiento de la experiencia del usuario y del prestador del servicio público individual con las siguientes acciones:
1. Modelo de Calidad
- Referenciación para la conceptualización del modelo de calidad de prestación del servicio.
- Co-creación del Modelo de Calidad con actores de la Cadena de Valor.
-Conceptualización de Modelo de Calidad para la prestación del servicio: definición de componentes del modelo: factores y atributos de calidad del TPI, determinación de: instrumentos de medición y estrategías de implementación y desarrollo de prueba
piloto para su implementación.
- Encuestas de percepción del usuario del servicio TPI: año 2020, año 2021 y 2022.
2. Plataformas tecnológicas:
- Diagnóstico de la implementación de Plataformas Tecnológicas y construcción de requerimientos funcionales para el ajuste de API Taxis y del Sistema de Información y Registro de Conductores.
- Desarrollo de ajustes al Sistema de Información y Registro de Conductores y al esquema de funcionamiento de la interfaz de programación de aplicaciones -API- de Taxi Inteligente y desarrollo de pruebas funcionales internas.
- Construcción de proyectos de decreto para el ajuste del Decreto 456 de 2017 y 568 de 2017 y Resolución 220.
- Construcción de Propuesta de Pico y Placa
3. Tarifa:
- Elaboración de los estudios de costos 2020, 2021 y 2022 para la definición tarifaría de Taxi.
4. Zonas Amarillas
- Priorización de 50 zonas amarillas en la ciudad. 
- Realización de la consultoría con Banco Mundial para definición de nuevo concepto y esquema de administración de zonas amarillas en Bogotá.
- Elaboración de 29 conceptos de viabilización de zonas amarillas en las localidades de Chapinero, La Candelaria y Teusaquillo de los cuales 11 son viables, 4 no viables y 14 están en construcción.
5. Formación de conductores de taxi:
- Realización de 95 jornadas de capacitación adelantadas en áreas de conocimiento y habilidades necesarias para la gestión del servicio y de los usuarios de la modalidad.
6. De la línea de enfoque de género se ha trabajado lo siguiente:
- 2020: Creación de la Estrategia Integral para el mejoramiento de la experiencia de viaje y la seguridad de las mujeres usuarias y prestadores del servicio de Taxi.
- 2021: Definición de las actividades de la Estrategia (Botón de Reporte y Semilleros)
- 2022: Estructuración de los Semilleros. Para el 2022 se definió realizar tres (3) semilleros con quince (15) sesiones a lo largo de todo el año. Los semilleros empezaron en marzo y terminan en noviembre, a la fecha se han consolidado dos (2) 
semilleros y realizado tres (3) sesiones.</t>
  </si>
  <si>
    <t>Mejorar la experiencia de viaje del usuario y del prestador del servicio de transporte público individual, a través del reporte de información de taxi, uso de plataformas por parte de los usuarios y mayor control por parte de la SDM de las tarjetas de control,
así como la elaboración de estrategias de mejora que incidan en la experiencia del usuario de taxi y los prestadores del servicio. 
Así mismo, confiabilidad en el servicio y mejor experiencia de viaje en Bogotá y la Región, mediante el desarrollo de estrategias como las zonas amarillas que organizan la ciudad y dan confianza a los usuarios de taxi.</t>
  </si>
  <si>
    <t>Durante el cuatrienio se han realizado las siguientes actividades en el marco de la política de movilidad compartida:
1. Encuesta de gestión de la demanda y movilidad compartida, se capturaron las preferencias declaradas de más de 13.783 personas que la respondieron. La encuesta fue respondida entre el 23 de octubre y el 3 de noviembre de 2021.
2. Se publicó la Resolución 118139 de 2021, que incluye la autorización de emplear medios tecnológicos para facilitar la inscripción al permiso semanal de alta ocupación vehicular.
3. Se publicó entre el 12 y el 16 de diciembre de 2021 la resolución de intercambio de información con plataformas tecnológicas para comentarios de la ciudadanía.
4. El 24 de diciembre de 2021 se publicó la Resolución 173157 de 2021, la cual establece los requerimientos para la integración de plataformas tecnológicas para la obtención del permiso semanal por alta ocupación vehicular.
5. Con el apoyo de la Red Muévete Mejor, se realizaron charlas virtuales sobre movilidad compartida. La Red realiza permanentemente actividades de capacitación y asesoría con el objetivo de fomentar la movilidad sostenible en empresas.
6. Integración de 2 plataformas tecnológicas con el SIMUR en el marco de la Resolución 173157 de 2021. Esto facilita el uso del permiso semanal por alta ocupación vehicular a la ciudadanía en general.
7. En colaboración con la Red Muévete Mejor, realización del piloto de carro compartido con 6 organizaciones y 2 plataformas tecnológicas, 1.382 viajes y 2,5 toneladas de CO2 ahorradas.
8. Participación en 3 eventos de carácter empresarial, donde se explica el permiso y se promueven hábitos de movilidad sostenible.
9. Realizados10.696.262 registros hasta el 16 de diciembre de 2022 (desde el inicio de la medida, el 20 de septiembre de 2020).
10. Apoyo de TUMI en consultoría para aprovechar resultados del piloto en formulación de políticas de movilidad compartida. En ejecución por Sensata.
11. Encuesta de gestión de la demanda y movilidad compartida, se capturaron las preferencias declaradas de más de 33.514 personas que la respondieron. La encuesta fue respondida entre el 9 y el 25 de agosto de 2022.</t>
  </si>
  <si>
    <t>Mayor participación de la ciudadania en la utilización del vehículo compartido y el avance en la creación de una cultura de movilidad compartida en Bogotá</t>
  </si>
  <si>
    <t>Meta de tipo decreciente cuyo avance es de 23,13 que representa una disminución del tiempo promedio de 0.44 minutos con respecto a lo esperado para toda la vigencia del PDD.
Con corte 31 de diciembre se completaron las mediciones para la consolidación del dato de tiempo promedio en minutos de acceso al transporte público, dando el resultado que se reporta en esta ejecución. Este cálculo de tiempo representa el percentil 
95 de las mediciones de cada grupo de estaciones y paraderos de la muestra ponderada por el peso de su respectivo grupo y ponderado por las primeras validaciones de cada componente</t>
  </si>
  <si>
    <t>Durante lo corrido del cuatrienio el avance de la meta por parte del Sector Movilidad se ha logrado satisfactoriamente; alcanzando un cumplimiento del 100% entre 2020 y 2022, el avance se ha dado conforme a lo programado. A continuación, el detalle:
- Selección de alternativa de Regiotram del norte para llevar a nivel de factibilidad, así como la continuación del desarrollo de estudios de inserción urbana del proyecto Regiotram de Occidente en Bogotá y acompañamiento a la Empresa Férrea 
Regional EFR en el desarrollo del estudio de tránsito para la implementación del proyecto.
- Ejecución y seguimiento de los estudios de factibilidad para la estructuración de tren de cercanías entre Bogotá y Zipaquirá denominado Regiotram del Norte. 
- Coordinación y apoyo técnico a la Secretaria Distrital de planeación (SDP) para la revisión general del Plan de Ordenamiento Territorial - POT, para la entrega de la propuesta del POT ante el Consejo Territorial de Planeación del Distrito Capital CTPD
realizada el 12 de julio y ante el Concejo Distrital realizada el 10 de septiembre y sus correspondientes socializaciones ante entes de control y ciudadanía.
- Estructuración plan de trabajo y priorización de tareas, proyectos y reglamentación asociada al sistema de movilidad adoptado en el POT-Decreto Distrital 555 de 2021.
- Elaboración de reglamentación asociada al sistema de movilidad: estudios de Movilidad, proyectos de Renovación Urbana para la Movilidad Sostenible y el Plan de Movilidad Segura y Sostenible.
- Revisión de alternativas para la implementación de la ciudadela Educativa y del Cuidado en el marco de la reserva de la ALO Norte según Decreto 555 de 2021.
- Formulación del Plan de Movilidad Segura y Sostenible, en cuanto a finalización del contenido estratégico, contenido programático, estrategia de participación, proyecto de acto administrativo y plan de acción.
- Implementación del piloto de Cargue y descargue de mercancías en horarios no convencionales, donde de manera voluntaria a la fecha se tiene la participación de 53 empresas de las cuales 26 han logrado implementar modelos de distribución 
nocturna en la ciudad.
- Definición de lineamientos para las actuaciones estratégicas priorizadas y para la implementación de manzanas del cuidado.
- Desarrollo de la estrategia de participación del Plan de Movilidad Segura y Sostenible TMSA_El proyecto de Asociación Pública Privada con inciativa privada tiene como objeto estudios, diseños, financiación, contrucción, operación, mantenimiento y posterior reversión de un complejo de integración modal de la Autopista Norte - CIM 
Norte de Bogotá D.C, el cual se dió viabilidad y así inició fase de factibilidad.
TRANSMILENIO S.A. solicitó al originador dentro de la fase de factibilidad ajustes referentes a la atención de las necesidades de infraestructura para el transporte. Para facilitar la solución se trabajó en incorporar la utilización del predio donde opera la 
Terminal Satélite del Norte, que implica la elaboración de nuevos estudios de demanda y de ingeniera, además de la contraprestación para remunerar los servicios de la Terminal de Transporte.
No obstante, lo anterior el originador no atendió los requerimientos mínimos exigidos por TRANSMILENIO S.A. y no logró certeza en cuanto a las condiciones financieras del proyecto. Por lo anterior se está trabajando en la elaboración de la resolución 
que declare fallida la iniciativa. Mediante resolución 571 de 2022 se declaró fallida la APP y se ratificó en la resolución al recurso de reposición emitido mediante Resolución 738 de 2022.</t>
  </si>
  <si>
    <t>Fortalecer los procesos de planeación, gestión y operación del sistema de movilidad urbano - regional que permita impulsar la calidad de vida de los ciudadanos y la competitividad, abarcando todos los modos de transporte y los diferentes tipos de 
logística y de carga para la ciudad. 
- Mitigar las externalidades negativas que genera el transporte de carga en Bogotá-Región.
- Aportar a la construcción del Modelo de Ordenamiento Territorial para la ciudad y a la conformación del Nuevo Sistema de Movilidad Multimodal y Sostenible incorporado en el nuevo POT.
- Incentivar la circulación y cargue y descargue de vehículos de carga por fuera de las horas pico de la ciudad disminuyendo la congestión vial y el impacto ambiental generado por la circulación de vehículos de carga en la ciudad.
De igual forma, la estrategia recoge todos los proyectos de expansión y mejoramiento de infraestructura para el SITP. En particular aporta además el proyecto CIM, con el cual se permtirá el intercambio modal del transporte intermunicipal con el 
transporte público del Distrito Capital.</t>
  </si>
  <si>
    <t>La meta no presenta retrasos
El IDU aclara que las metas se programan de acuerdo a los recursos disponibles y la ejecución de éstas depende del avance en el cronograma de obras cuyo plazo pueden superar la vigencia fiscal, es por ello que no se puede comparar la anualidad 
presupuestal con la ejecución física de las metas.</t>
  </si>
  <si>
    <t>En lo corrido del Plan de desarrollo se han implementado 1703 ciclo parqueaderos tanto en vías como en los campamentos de las obras que se encuentran en ejecución, con lo cual se alcanza un 34,06% de cumplimiento de la meta Plan, dichos ciclo 
parqueaderos se encuentran ubicados así:
- ZONA ROSA (198)
- AV. ELRINCON KR91 AC131A D CR91 AV. CONEJE (104)
- CICLO PUENTE CANAL MOLINOS X AUTONORTE (18)
- AV BOSA DESDE AV C CALI HAST AV TINTAL (72)
- AV. JOSÉ C. MUTIS DE AK. 70- AV. BOYACA (96)
- AV. TINTAL DE AV. V/CIO. AV. BOSA. (141)
- AV TINTAL DE AV M. CEP VARGAS A AV ALSAC (350)
- AV ALSACIA AV BOYACA Y CARRERA 71B (225) 
- AV BOSA DESDE AV C CALI HAST AV TINTAL (140)
- AV. EL RINCON DE AV. BOYACA A CRA.91 (50)
- PTE PEAT AV. LAUREANO GOMEZ AK9 X CLL112 (8)
- CALLE 116 ENTRE CRA. 7 Y AUTONORTE (20)
- AMPLIACIÓN ESTACIONES GP 2 (45)
- AV.L. GOMEZ AK9 D CL183 A CL193 ( 5)
- TM CARACAS TRAMO 1 (58)
- CANALES COMERCIALES (20)
- AV. 68 ALIMENTADORA LINEA METRO- GP 2 (15)
- AV. 68 ALIMENTADORA LINEA METRO - GP 4 (35)
- AV. 68 ALIMENTADORA LINEA METRO - GP 6 (30) 
- AV. 68 ALIMENTADORA LINEA METRO - GP 7 (12)
- Ampliación de estaciones TM - Emergencia -Grupo I (16)
- Ampliación de estaciones TM - Emergencia - Grupo II (16)
- CICLO PUENTE CANAL MOLINOS X AUTONORTE (11)
- PATIO LA REFORMA (10)
- AV. 68 ALIMENTADORA LINEA METRO - GP 9 (8)
En relación con la gestión adelantada por la SDM, se presentan los siguientes avances:
En lo corrido del Plan Distrital de Desarrollo la Secretaría Distrital de Movilidad ha logrado implementar 28.266 cicloparqueaderos en infraestructura pública, a través de gestiones que se adelantan desde varios frentes, estas incluyen solo la cantidad de 
cupos permanentes (que reporta el IDU dentro de la meta 388), adicional a ello, se involucra los cupos de entidades distritales, aquellos que se certifican con Sellos de Calidad, y el inventario parcial de cupos de cicloparqueaderos en espacio público 
(entre estos, parques, plazas y plazoletas) y equipamientos distritales.
Cupos de cicloparqueaderos por vigencia:
2021: 19.266
2022: 9.000
Frente al porcentaje de avance de las acciones para aumentar el número de cupos de cicloparqueaderos en infraestructura privada, en lo corrido del PDD la Secretaría Distrital de Movilidad ha impulsado el incremento de cupos de cicloparqueaderos en 
infraestructura privada a través de asesorías y visitas técnicas a las instalaciones de empresas privadas, universidades y bibliotecas en las que se prestó el servicio de cicloparqueaderos, a la fecha la ciudad cuenta con 5.500 cicloparqueaderos 
gestionados en infraestructuctura privada, con un avance del 70%. El detalle a continuación: 
24 cupos: Cruz verde 123 
24 cupos: City Parking Olivos Castellana
26 cupos: City parkig carrera 14
24 cupos: Cityparking rosales
24 cupos: City Parking Jave Salud Toberin
12 cupos: Parking international Almirante Colón
62 cupos: Parking international edificio Savio
66 cupos: Centro Comercial Primavera Plaza
152 cupos: Parking international edificio 811
42 cupos: Aparcar biblioteca Virgilio Barco
83 cupos: Parqueadero Lugano
343 cupos: Centro Empresarial Torres atrio
401 cupos: Centro Empresarial Sarmiento Ángulo
75 cupos: Homecenter 170
30 cupos: Centro Comercial Bima
164 cupos: Parqueadero público Tequendama
50 cupos: Centro Comercial outlet las américas
130 cupos: Homecenter Avenida el Dorado
24 cupos: City parkin u central
392 cupos: Colpatria
128 cupos: City Parking Ecoteck
292 cupos: Parking h&amp;h 
186 cupos: Centro Comercial salitre
120 cupos: Universidad central
110 cupos: Homcenter calle 80
132 cupos: Éxito suba
120 cupos: Edificio MTS Alianza
26 cupos: City parking Smart fit chapinero
51 cupos: Edificio mts calle 93
107 cupos: Fiesta Suba3
100 cupos: Centro comercial plaza las américas3
223 cupos: Centro Comercial mi centro Bosa3
145 cupos: Diver Plaza3
128 cupos: Ecopetrol
119 cupos: Novonordisk3
120 cupos: Edificio megaport3
200 cupos: Parque Empresarial la estancia3
107 cupos: Centro logístico de occidentel3-
172 cupos: Edificio Green office3
24 cupos: Parking Hotel habitel3
140 cupos: Parking jumbo calle 808
60 cupos: Edificio teleport business
45 cupos: Parque Logic 2
266 cupos: Caracol
70 cupos: Homecenter av. 68
29 cupos: Homecenter av. tintal
78 cupos: Homecenter Cedritos
54 cupos: City aparking Homi
A su vez, se han realizado las siguientes acciones que permiten adicionar cupos a la infraestructura privada:
-35 visitas a empresas privadas, que involucran la revisión del espacio, el mobiliario actual y la asesoría presentada
-12 sinergias realizadas alrededor del año con el comité Interinstitucional
-44 cicloparqueaderos certificados asociados a la estrategia de sellos de calidad divididos así:
1 Universidad 
7 Centros comerciales
18 Empresas privadas 
18 Parqueaderos fuera de vía correspondientes al Acuerdo 794</t>
  </si>
  <si>
    <t>Con la implementación de los cicloparqueaderos ha logrado incentivar el uso de la bicicleta y la seguridad vial, asi como la mejora en la calidad de vida de los ciudadanos dado que se incrementa la actividad fisica y contemplativa del paisaje urbano.</t>
  </si>
  <si>
    <t>En lo transcurrido del Plan de Desarrollo, la meta ha logrado el cumplimiento del 100% para las vigencias 2020 a 2022. 
En la vigencia enero-diciembre 2022 a partir de las áreas de orientación psicológica, social y jurídica se atendieron en total 488 personas, 266 hombres y 222 mujeres. Del total de personas teniendo en cuenta el tipo de actor vial: 99 son ciclistas, 60 
peatones, 57 conductores, 57 pasajeros y 215 motociclistas. 
De acuerdo a la población atendida según grupo etario se atendieron: Juventud: 105 personas, Adultez: 354 y Persona Mayor 29 personas. 
La caracterización étnica de 2 de los usuarios atendidos es palenquero, 1 persona Negro/afrocolombiano y 1 persona indígena. Adicionalmente sobre el total de usuarios, se atendieron 12 personas en condición de discapacidad. 
El principal beneficio del Centro de Orientación a Víctimas de Siniestros Viales -ORVI es que los usurarios atendidos en el centro, recibieron herramientas para afrontar las afectaciones psicológicas por siniestro, información sobre trámites a tener en 
cuenta para reclamaciones de tipo jurídico, e información y orientación sobre la oferta social del Distrito que respondiera a sus necesidades sociales. De esta manera, en el 2022 se logró que 488 personas se beneficiaran recibiendo las diferentes 
orientaciones social, jurídica y psicológica y con ello herramientas para adaptarse a su nueva situación de vida.</t>
  </si>
  <si>
    <t>El principal beneficio del Centro de Orientación a Victimas de Siniestros Viales está definido por tener un componente de atención social a personas víctimas pos siniestro. Esta orientación social cuenta con la evaluación de las condiciones sociales de la
víctima que haya sido afectada por consecuencia del siniestro vial, lo que facilita la posibilidad de brindarle información acerca de los programas sociales vigentes ofrecidos por el Distrito, en los que de manera voluntaria pudieron inscribirse de acuerdo 
con sus intereses y necesidades propios, y condiciones de cada programa, obteniendo herramientas para adaptarse a sus nuevas condiciones de vida.</t>
  </si>
  <si>
    <t>En lo transcurrido del Plan de Desarrollo el tiempo promedio de viajes se ha logrado mantener por debajo de los 50 minutos, sin embargo, durante la vigencia 2022 éste presentó un incremento debido principalmente a medidas como el Pico y Placa, 
dinámicas de salida y retorno de usuarios de las vías, el retorno de los colegios a la modalidad presencial, épocas de lluvia, y al incremento en los frentes de obras para mejorar la infraestructura vial de la ciudad y así poder mejorar la movilidad y la 
calidad de vida de los ciudadanos. Es preciso indicar, que durante esta vigencia se han implementado diferentes medidas de alto impacto para mejorar la movilidad</t>
  </si>
  <si>
    <t xml:space="preserve">En lo transcurrido del Plan de Desarrollo, se cuenta con un promedio de tiempo de viaje de 48,10 minutos. A diciembre de 2020 se logró un tiempo de 43,85 minutos, a diciembre de 2021 un tiempo de 45.6 minutos, y a diciembre de 2022 un promedio 
de 54,82 minutos.
Entre las diversas acciones adelantadas se encuentran: la disponibilidad del sistema de semaforización por encima del 99%, inspecciones de seguridad vial, 45 planes éxodo, implementación de agentes civiles de tránsito, seguimiento a planes de 
manejo de tránsito, inicio del proyecto de Gerencia en Vía, implementación de pilotos en los corredores de la Av. Boyacá, calle 26, Av. Primera de Mayo, Av. Américas, Carrera 7, Calle 80, Carrera 68 y Av. Ciudad de Cali, se continuó con las labores 
para mejorar la circulación de ciclistas en el corredor de calle 13 y para los demás corredores continuó con el equipo de gerencia en vía.
En cuanto a la vigencia 2022, el tiempo promedio de viaje se incrementó debido principalmente a medidas como el Pico y Placa, dinámicas de salida y retorno de usuarios de las vías, el retorno de los colegios a la modalidad presencial, temporadas de 
lluvias, y el incremento en los frentes de obras para mejorar la infraestructura vial de la ciudad y así poder mejorar la movilidad y la calidad de vida de los ciudadanos. Es preciso indicar, que durante esta vigencia se han implementado diferentes medidas
de alto impacto para mejorar la movilidad, entre ellas: contraflujo vehicular Av. Américas en el tramo de la Cra 74 a la Carrera 62 sentido WE beneficiando cerca de 7500 vehículos en la HMD, plan de choque para el control de estacionamiento indebido, 
coordinación de las zonas automáticas de semaforización, pruebas piloto en calle 13 x Cra 69, calle 80 reversible en tramo de la concesión, Cra 7 x cl 100, autopista sur x Cra 72, controles operativos enfocados a la evasión de la medida del pico y placa 
y mal parqueo, ajustes semafóricos en algunos importantes corredores como Calle 80 y Av. Boyacá, implementación de señalización vial en los 14 corredores, seguimiento a PMTs de alto impacto con mejoras como la adecuación de la Av. Boyacá x Cl 
12B, disponibilidad del sistema de semaforización por encima del 99%, la realización de jornadas de gestión en vía, la solicitud de labores de limpieza, drenajes y bombeo para vías que por lluvias se han inundado ocasionando afectación en los 
corredores viales, entre otras.
</t>
  </si>
  <si>
    <t>Con las medidas de alto impacto implementadas se ha logrado mejorar la movilidad en algunos sectgores de la Ciudad, y se ha logrado dismuir tiemplos de desplazamiento</t>
  </si>
  <si>
    <t>En lo corrido del Plan de Desarrollo, y con corte a diciembre de 2022 el IDU ha mantenido 264,97 km- carril de malla vial troncal lo que conlleva a un cumplimiento del 73,6% frente a la meta PDD, dichas acciones se realizado a través de:
MANTENIMIENTO TRONCALES TRASNMILENIO G2 IDU-1626-2020 y IDU-1627-2020
MANTENIMIENTO TRONCALES DE TRANSMILENIO IDU-1718-2021
IDU-1719-2021; IDU-1721-2021
TRONCAL CARACAS TR 1 (EST. ALIMENTADORA) IDU-1601-2019
AV. 68 ALIMENTADORA LINEA METRO - GP 3 IDU-347-2020
AV. 68 ALIMENTADORA LINEA METRO - GP 4 IDU-348-2020
AV. 68 ALIMENTADORA LINEA METRO - GP 6 IDU-350-2020
AV. 68 ALIMENTADORA LINEA METRO - GP 7 IDU 351-2020
AV. 68 ALIMENTADORA LINEA METRO - GP 9 IDU- 353-2020</t>
  </si>
  <si>
    <t>El IDU desde el incio de las troncales ha tenido un programa recurrente de construcción y mantenimiento de troncales con el cual pretende que el sistema se mantenga y/o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 que con el tiempo se han hecho más importantes.
- Posibilidad de circulación en tráfico mixto en condiciones de contingencia o en condiciones normales de operación como es el caso de las conexiones operacionales de la Avenida Ciudad de Villavicencio y la conexión entre las troncales Américas y 
NQS.
- Incorporación de flota biarticulada (buses de 250 pasajeros) para ampliar la capacidad en los corredores de mayor demanda.</t>
  </si>
  <si>
    <t xml:space="preserve">La meta no presenta retrasos.
</t>
  </si>
  <si>
    <t xml:space="preserve">En lo corrido del Plan de desarrollo se ha realizado el mejoramiento de 23 estaciones con lo cual se alcanza un avance en el PDD del 53,49%, acciones que se han ejecutado a través de los siguientes puntos de inversión:
Ampliaciones de estaciones al sistema TM GP 1 (9) IDU-971-2020
Ampliación de estaciones de emergencia GP 1 (6) IDU-1318-2018
Ampliación de estaciones de emergencia GP 2 (3) IDU-972-2020
Ampliación de estaciones TM - Emergencia - Grupo (2) III IDU-973-2020
Ampliación de estaciones TM GP 2 urgencia manifiesta (2) IDU-973-2020
Ampliación de estaciones GP 3 (1) IDU-1536-2018
En cuanto al porcentaje de avance anual en las actividades a cargo de TMSA para el mejoramiento de 43 estaciones del sistema Transmilenio, el reporte del estado físico es el siguiente:
Estaciones en operación: Américas - De la Sabana, Américas - Carrera 43, NQS - Calle 38 Sur, NQS Madelena, NQS - Santa Isabel, Américas - Zona Industrial, Américas - CDS Carrera 32, NQS Alquería, NQS - Calle 30 Sur, Suba-Shaio-Calle 
116, Suba - Avenida Boyacá, Caracas-Fucha, Caracas-Quiroga, Caracas - Consuelo, Suba-Tv 91, Suba- Humedal Córdoba, Suba - San Martín, Calle 80 - Minuto de Dios, Calle 80 Polo, Suba Gratamira, Américas - Puente Aranda, NQS - Av. El 
Dorado, Autopista Norte Virrey, Autopista Norte - Pepe Sierra, Autopista y Norte - Calle 127.
Estaciones en construcción: Calle 80 - Av. Cali, Calle 80 - Carrera 90, Caracas - Calle 40 sur, Caracas Restrepo, Calle 80 Boyacá, NQS Venecia, Suba - 21 Ángeles, NQS General Santander (con pendientes para recibo).
Estaciones en estudios y diseños: Caracas Nariño, Caracas Olaya, Caracas Socorro, NQS - Universidad Nacional, NQS CAD, NQS Ricaurte, Suba Campiña, Suba - Puente Largo, Autopista Norte - Calle 187, Autopista Norte - Terminal.
</t>
  </si>
  <si>
    <t>El mejoramiento de la capacidad de las estaciones del componente troncal del sistema integrado de transporte público incide positivamente en el nivel de servicio de las estaciones a los usuarios y en la cantidad de buses hora que puede soportar cada 
estación.</t>
  </si>
  <si>
    <t>Durante la vigencia 2022 IDU ha construido 3_ patio portal con lo cual presenta un avance del 50% frente a la meta del plan de desarrollo, dicha inversiones se realizó en el siguiente punto
PATIO PORTAL AMERICAS
PATIO PORTAL SUR
PATIO PORTAL TUNAL
Por su parte TMSA reporta un avance en las actividades para diseñar y contratar la construcción de la estación central del Sistema Transmilenio para las vigencias 2020,2021 y 2022 del de 100% de acuerdo con lo programado para cada vigencia. 
La ERU se encuentra revisando la formulación del PPRU. La SDP remitió para revisión el documento soporte de formulación, el cual se encuentra en revisión. Con base en las respuestas de todas las entidades se tendrá la adopción del plan parcial.
Se inició gestión de saneamiento predial de los bienes de propiedad de TRANSMILENIO S.A., mediante convenio 614 de 2019 para separar las áreas afectas a la infraestructura de transporte de las áreas de desarrollo inmobiliario del PPRU según 
Decreto 822 de 2019. Se revisó y firmó la minuta de extinción de propiedad horizontal, se adelantó el trámite de pago de impuestos prediales y actualmente se sigue trámite notarial. Se revisó la minuta de englobe y desenglobe de predios, la cual deberá
ser tramitada en notaría una vez culminado el proceso con la minuta de extinción de propiedad horizontal.
TRANSMILENIO S.A. elaboró documento de parámetros técnicos y de infraestructura de la estación que integra con otros modos de transporte y las troncales del sistema.
ERU plantea dos alternativas, implantar CAD II y sede IDU, avanzar sin normatividad de derecho real de superficie y la norma PEMP Centro Histórico.
Se registró la escritura de extinción de propiedad horizontal y se suscribió la escritura de englobe y desenglobe de los predios de propiedad de TMSA.</t>
  </si>
  <si>
    <t>Meta de tipo constante cuyo avance para las vigencias 2020,2021 Y 2022 fue de 100% . 
En lo que corresponde al avance de las actividades tendientes a garantizar el cumplimiento de la meta propuesta , durante el periodo objeto del reporte se dio continuidad a la ejecución de los contratos CTO 1114-21 y CTO 1115-21 (Mantenimiento e 
Interventoría Respectivamente). Por medio de estos contratos se continuan ejecutando y garantizando los mantenimientos requeridos por la infraestructura del Componente BRT del SITP.</t>
  </si>
  <si>
    <t>El mantenimiento de infraestructura es necesario para la preservación de los diferentes elementos que componen la infraestructura del Sistema, manteniendo las condiciones de seguridad y confiabilidad</t>
  </si>
  <si>
    <t>Con corte a 31 de diciembre de 2022 se han construido 3 patios portal, lo cual presenta un avance del 50% frente a la meta del plan de desarrollo, dicha inversión se realizó en los siguientes puntos: 
PATIO PORTAL AMERICAS
PATIO PORTAL SUR
PATIO PORTAL TUNAL
Frente al porcentaje de acciones adelantadas por TMSA para diseñar y contratar la construcción de 6 patios troncales y zonales del SITP, se reporta un avance para las vigencias 2020, 2021 y 2022 del 100% de acuerdo con lo programado para cada 
vigencia. 
En patios troncales y zonales:
Gaco: contrato de factibilidad estudios y diseños, programado: En trámite de aprobaciones y permisos de entidades públicas.
Alameda: se encuentra en fase de liquidación de estudios y diseños.
San José: IDU entregó alternativa 3 de prefactibilidad. Pendiente se resuelvan los problemas de falsa tradición de predios necesarios para el acceso al polígono.
La Reforma: la etapa de construcción del patio presenta un porcentual programado del 55% contra un ejecutado del 55,4%. Esto obedece a la reprogramación que realiza el IDU con motivo de los cambios originados por la estabilización de taludes y la 
adición presupuestal para atender las metas físicas.
Carboquímica: acompañamiento a los procesos con SDA para la remediación del predio. Se remitió oficio al IDU para desistir de la compra del predio por la falta de avance y solución a los temas ambientales.
Patio Soacha Ciudad de Cali: se adelantaron gestiones con los desarrolladores inmobiliarios de ciudad verde y la alcaldía de Soacha, para evaluar el predio más apropiado para la implantación de la infraestructura de transporte. Se está pendiente de la 
aprobación del POT de Soacha.
Mediante comunicación 2-2022-141674 la SDH autorizó el trasaldo de recursos de esta meta para financiar FET, con la indicación de desfinanciación de los proyectos asociados a la meta.</t>
  </si>
  <si>
    <t>Con la implementacion de los patio portal, se pretende mejorar el sistema integrado de transporte en cuanto a la capacidad que tendría cada patio portal para la aglomeracóon de la flota de buses articulados y biarticulados. Igualmente, implementar la 
infraestructura soporte del SITP necesaria para atender los componentes troncal y zonal.</t>
  </si>
  <si>
    <r>
      <t xml:space="preserve">La meta no presenta </t>
    </r>
    <r>
      <rPr>
        <sz val="11"/>
        <rFont val="Calibri"/>
        <family val="2"/>
        <scheme val="minor"/>
      </rPr>
      <t xml:space="preserve">retrasos.
En lo corrido del Plan de Desarrollo se alcanzó un total contratado de obras para la adecuación de 34 km de corredores de transporte masivo que equivalen al 116% de la meta programada. Las metas se programan de acuerdo a los recursos disponibles
y la ejecución de éstas depende del avance en el cronograma de obras cuyo plazo pueden superar la vigencia fiscal, es por ello que no se puede comparar la anualidad presupuestal con la ejecución física de las metas.
</t>
    </r>
  </si>
  <si>
    <t>En lo corrido del Plan de Desarrollo y con corte a diciembre de 2022 esta meta presenta un avance general del 14.29% que corresponden a 4,23 Kilómetros de corredores de transporte masivo ejecutados. A continuación, se presentan los avances de 
cada uno de los proyectos que en la medida de su ejecución alimentarán la meta con los km correspondientes:
TM Av. 68 Avance: en lo corrido del PDD se cuenta con un avance del 22.81% y para la vigencia 2022 del 18.91%. El proyecto contempla la construcción para la adecuación al sistema Transmilenio de la Av. Congreso Eucarístico (carrera 68) desde la 
carrera 9 hasta la autopista sur, dividida en 9 grupos de obra, actividades de traslado y adecuación de redes de servicios públicos, actividades silviculturales, excavaciones y conformaciones de las estructuras de pavimento en carriles BRT y mixtos, 
trabajos en estructuras. 
Grupo 1: Intersección Elevada Autopista Sur
Grupo 2: intersección elevada calle 3ra- Box Vehicular Calle 1 Río Fucha- Box Vehicular Calle 3 - Canal Comuneros-Puente Peatonal Calle 18 Sur
Grupo 5: Intersección Elevada Calle 26 TM-Rehabilitación puente Calle 26 Oriental-Rehabilitación puente Calle 26 Occidental
Grupo 6: Ciclopuente frente al parque Simón Bolívar,
Grupo 7: puente BRT a la altura de c.c Cafam Floresta, 
Grupo 8: Traslado Estación Transmilenio Av. Suba 
Grupo 9: Puente Peatonal Conexión Calle 100
Extensión Troncal Caracas Tramo I: Molinos al portal Usme: En lo corrido del PDD se cuenta con un avance del 55.86% y para la vigencia 2022 del 38.12%. El proyecto contempla la construcción de las obras de infraestructura para la movilidad 
requeridas para la adecuación de la Extensión Troncal Caracas en 4.2 km, en el sector comprendido entre la actual estación Molinos y el Portal de Usme, construcción de dos carriles exclusivos para el Sistema Transmilenio, construcción de carriles 
mixtos, construcción de dos estaciones de Transmilenio, adecuación de cicloruta, espacio público y zonas verdes, a la fecha se cuenta con un avance físico del 34,31%, y actividades de ejecución en la estación Molinos con un avance del 50%, 
conformación de espacio público, adecuación de desvíos, construcción de carriles BRT y mixtos, construcción de cicloruta, construcción del Puente vehicular quebrada Chiguaza (avance del 32%) y construcción de un puente peatonal. 
TM Av. Ciudad de Cali Avance: en lo corrido del PDD se cuenta con un avance del 25.33% y para la vigencia 2022 del 23.63%este proyecto contiene la construcción para la adecuación al Sistema Transmilenio de la troncal Avenida Ciudad de Cali tramo
1 - entre la Avenida Circunvalar del sur y la Avenida Manuel cepeda Vargas, dividida en 4 grupos de obra, los 4 grupos se encuentran en etapa de construcción, realizando labores de traslado y adecuación de redes de servicios públicos, conformación 
de espacio público, excavaciones y conformaciones de las estructuras de pavimento en carriles BRT y mixtos, construcción de estaciones y montaje de puente peatonal frente al Portal de las Américas.
Grupo 1: Estación Transmilenio: Terreros- San Bernardino Calle 70 Sur
Grupo 2: Estación Transmilenio Diagonal 49 Sur-Av. Villavicencio Av. Bosa
Intersección Av. Villavicencio- Puente Peatonal Portal Américas
Grupo 3: Estación Transmilenio Patio Bonito- Biblioteca el Tintal
Grupo 4: Actividades de redes y espacio público 
En lo que respecta a las acciones adelantadas por Tranmilenio, para las vigencias 2020,2021 y 2022 se reporta un avance del 100% de acuerdo con lo programado para cada vigencia. En lo referido al estado de cada proyecto se tiene: 
Extensión Troncal Caracas: Se encuentra en etapa de construcción desde el 12 de agosto de 2020; Troncal 68: Los nueve contratos se encuentran en etapa de construcción. Se adelantan las reuniones pertinentes con el IDU para evaluar al avance de 
cada uno de ellos en la etapa; Troncal Avenida Ciudad de Cali: los cuatro tramos iniciaron etapas de construcción. Para todos los contratos se hace seguimiento permanente a todos los contratos de obra, a través de reuniones, comités, comunicaciones 
y el comité IDU TMSA; Extensión troncal Av. Calle 26 al Aeropuerto: Se entregaron al IDU los parámetros técnicos operaciones y de infraestructura; Troncal Calle 13: Se suscribió convenio con el IDU para la ejecución del Corredor Troncal.</t>
  </si>
  <si>
    <t xml:space="preserve">A continuación, los beneficios por proyecto:
1. TM Av. 68: El proyecto beneficia a toda la población de la ciudad de Bogotá principalmente en las localidades de Engativá, Fontibón, Kennedy, Tunjuelito, Puente Aranda, Teusaquillo, Barrios Unidos, Suba, Usaquén y Chapinero. Con la construcción 
de la Troncal 68 se mejora la productividad de la ciudad y la región mediante acciones coordinadas sobre los subsistemas vial, de transporte y de regulación y control del tráfico, que tiendan a la generación de un sistema de transporte de pasajeros 
urbano regional integrado. Incrementa y mejora el espacio público, el espacio peatonal y la infraestructura pública disponible e incentivar el sentido de pertenencia de los habitantes de Bogotá. Mejora la calidad de la movilidad y la accesibilidad que 
provee el Distrito Capital para todos los usuarios peatones, ciclistas, usuarios del transporte público colectivo e individual, así como del transporte privado, entre otros.
2. Extensión Troncal Caracas Tramo I - Molinos al portal Usme
Beneficia a todos los habitantes de la ciudad de Bogotá y en especial 334.234 habitantes en el área de influencia del proyecto los cuales corresponden en su mayoría a un estrato socioeconómico 1 y 2 y se encuentran en sectores consolidados. 
Disminución de los tiempos de desplazamiento gracias a la ampliación de sus vías de acceso principales y su adecuación al sistema Transmilenio
Mejora las condiciones de servicio y de seguridad vial para los automotores con la adecuación de 4.2 kilómetros de vía. Mejora las condiciones de movilidad de los bici usuarios con la instalación de una ciclorruta de 3.5 kilómetros. Garantiza un corredor 
peatonal entre el portal de Usme y la estación de Molinos. Mejora el acceso de las condiciones de servicio de Transmilenio de los habitantes del barrio el Danubio, con la construcción de la estación denominada el Danubio.
3. Av. Ciudad de Cali: Beneficia a todos los habitantes de la ciudad de Bogotá y en especial 1.194.768 Habitantes de las localidades de Bosa y Kennedy
Incrementa y mejora el espacio público, el espacio peatonal y la infraestructura pública disponible e incentivar el sentido de pertenencia de los habitantes de Bogotá. Mejora la calidad de la movilidad disminuyendo los de tiempos de viaje y mejora la 
accesibilidad que provee el Distrito Capital para todos los usuarios peatones, ciclistas, usuarios del transporte público colectivo e individual, así como del transporte privado. Amplia la red de corredores Troncales de la Ciudad, mejorando las condiciones 
de cobertura, accesibilidad, costos, seguridad, conectividad y de beneficio social para los ciudadanos con el fin de superar el déficit de oferta de infraestructura y de servicios de transporte en la ciudad y atender la demanda de pasajeros. Desestimula el 
uso del vehículo particular y a mejorar la calidad de vida de los habitantes y visitantes de Bogotá. Mejorar las condiciones de movilidad en el Distrito Capital Cumpliendo además con el rol de alimentación de la PRIMERA LÍNEA DE METRO DE 
BOGOTÁ. Este corredor servirá más adelante para comunicar el municipio de Soacha Cundinamarca y el Distrito (Ciudad Verde) conexión vial y de espacio público conectando al municipio de Soacha con la primera línea del metro.
</t>
  </si>
  <si>
    <t>A la fecha se encuentran en ejecución los 3 grupos de contratos suscritos para realizar los estudios y diseños del proyecto como se relacionan a continuación:
1. Corredor Verde de la carrera séptima desde la calle 26 hasta la calle 32 Tramo 1. IDU-1319-2021 interventoría IDU-1366-2021 por valor de 1.393 millones la obra y la interventoría 725 millones 
2. Corredor Verde de la carrera séptima desde la calle 32 hasta la calle 93A Tramo 2. IDU-1299-2021 interventoría IDU-1367-2021 por valor de 4.225 millones e interventoría 1.329 millones 
3. Corredor Verde de la carrera séptima desde la calle 93A hasta la calle 200 Tramo 3. IDU-1336-2021 interventoría IDU-1368-2021 por valor de 5.373 millones e interventoría 1.612 millones 
Entendiendo que el proyecto se encuentra dividido en tramos y que las complejidades y temporalidades son diferentes, los cronogramas que se estiman para cada uno de los tramos son diferentes, en ese orden de ideas, se prevé que la ejecución de 
las obras comience en el primer semestre del 2023.
Así mismo, y en lo que respecta a las acciones adelantadas por Transmilenio, se reporta un avance del 100% para las vigencias 2020, 2021 y 2022, lo anterior de acuerdo con lo programado para cada vigencia. Entre las acciones están: en 
estructuración del proyecto, en ejecución los contratos de consultoría e interventoría adjudicados por el IDU, el IDU abrirá los procesos de contratación para la construcción de los tramos del corredor verde de la Carrera Septima en 2023.</t>
  </si>
  <si>
    <t xml:space="preserve">El corredor verde ofrecerá una solución urbanística sustentable y de movilidad para el sector oriental de la ciudad. La administración distrital diseñará y construirá un corredor verde sobre la carrera séptima. A diferencia de un corredor tradicional en el 
que se privilegia el transporte usando energías fósiles, transporte masivo en troncal y de vehículos particulares, en un corredor verde, como el que se hará en la carrera séptima, se privilegia el uso de energías limpias, el espacio público peatonal y 
formas de movilidad alternativa como la bicicleta. El corredor verde, además se diseñará con participación ciudadana incidente, como un espacio seguro con enfoque de tolerancia cero a las muertes ocasionadas por siniestros de tránsito, que proteja el 
patrimonio cultural, que promueva la arborización urbana, que garantice un mejor alumbrado público, la operación de un sistema de bicicletas, la pacificación de tránsito y que mejore la calidad del aire a través del impulso a la electrificación de los 
vehículos que por ahí circulen. </t>
  </si>
  <si>
    <t>A pesar del avance en la implementación de las acciones del Plan Estratégico Anti Evasión, los datos que miden la evasión actual dan cuenta que no se ha logrado mejora alguna para lograr disminución de la misma, sin embargo y como medida de 
choque y mitigación se realizó un nuevo diseño del modelo de seguridad y vigilancia para el Sistema. De acuerdo con los recursos asignados a la Dirección para 2023 se destinarán recursos para el equipo territorial y otras herramientas que permitan 
mayor presencia institucional en portales, estaciones, paraderos y buses previniendo la evasión del pago y fomentando el buen uso del sistema.</t>
  </si>
  <si>
    <t xml:space="preserve">Se sigue avanzando en la implementación del Plan Estratégico Anti evasión, actividades adelantadas: Prevención de Cultura Ciudadana, Incidencia y Corresponsabilidad: Se adelantaron 5.763 acciones de prevención y control de evasión del pago en las que se sensibilizaron aproximadamente 61.165 personas. De los 61.165 personas sensibilizadas por 
los Gestores, un 51% se devolvió a pagar su pasaje.
Monitoreo y Caracterización de la Evasión: Se continuó el monitoreo de la evasión con el Sistema SIDEST para 37 puntos. Se trabaja en el fortalecimiento y ampliación de las capacidades del SIDEST.
Fortalecimiento de la Infraestructura: Seguimiento con la Dirección de TIC del avance en el proceso de cambio de BCA en los portales y estacioens del Sistema para ayudar a mitigar la evasión del pago. Firma del Otrosí No. 18 con Recaudo Bogotá 
S.A.S para dar viabilidad técnica, financiera, contractual y jurídica al proyecto de cambio de BCA en el componente Troncal.
Fiscalización: Aplicación de 68.596 comparendos por evasión del pago. Implementación de la estrategia de Reguladores de Evasión como nuevo esquema de disuasión y contención en portales y estaciones críticos.
Elsuión del Pago. Levantamiento del diagnóstico de la venta ilegal de pasajes en la ciudad. Fortalecimiento en el protocolo de seguimiento a tarjetas por usos atípicos . Desarrollo de 26 operativos, resultando en 1.188 tarjetas incautadas.
</t>
  </si>
  <si>
    <t>Mayor presencia institucional en portales, estaciones, paraderos y buses previniendo la evasión del pago y fomentando el buen uso del Sistema. Sensibilización sobre la importancia del pago del pasaje para usuarios del Sistema y ciudadanía en general.
Monitoreo de la evasión y búsqueda de soluciones tecnológicas para seguimiento en tiempo real del fenómeno.Mediciones del impacto de las estrategias frente a la evasión del pago para mejorar focalización de recursos, puntos y acciones de 
intervención. Avance en la toma de decisiones gerenciales y ejecución de estrategias que permitan mitigar la evasión del pago a través de acciones de infraestructura de puertas y BCA¿s. Concesionarios del Componente Zonal y TRANSMILENIO S.A. 
trabajando juntos para minimizar la evasión de pago en el SITP. Fiscalización y sanción a evasores del pago para buscar sanción y no repetición del comportamiento. Abstención de conducta de evasión del pago por parte de algunas personas, gracias a
acciones de disuasión de personal de vigilancia privada y de Gestores de Convivencia TM. Control y judicialización a revendedores ilegales de pasajes para el ingreso al Sistema. Sensibilización a la ciudadanía sobre la elusión del pago (reventa de 
pasajes) como un delito que afecta la seguridad y la sostenibilidad del Sistema</t>
  </si>
  <si>
    <t>No se presentan.</t>
  </si>
  <si>
    <t>A continuación, se describen las actividades más relevantes realizadas durante los años 2021 y 2022 en lo que respecta de la Meta PDD 400: Alcanzar el 100% del proceso de contratación para la expansión de la PLMB-Fase 2. Estas, son: 
1. Durante la vigencia 2021 se inició y culminó la actividad referente a la prefactibilidad del proyecto. Así mismo, se ejecutó la Fase 2: Análisis, Estudios y Diseños de factibilidad (aval técnico y fiscal) para acceder a cofinanciación del Gobierno Nacional.
2. En la vigencia 2022 se cumplió el objetivo de realizar los estudios de factibilidad en tipología elevada. De igual manera, se inicio la implementación de la Fase 3, la cual es de preparación de los documentos requeridos para el proceso licitatorio, es por 
esto que, se ha llevado a cabo el análisis de entregables derivados de los componentes técnicos de proyecto, con el fin de poder llegar a la adjudicación del proyecto. 
3. Se logró que el proyecto fuera declarado de importancia estratégica para la ciudad. Adicionalmente, se obtuvo el aval técnico y fiscal tanto del Distrito como de la Nación, se suscribió y firmo el Convenio de Cofinanciación Distrito-Nación y, finalmente 
el Congreso de la República otorgó la garantía soberana para el proyecto.</t>
  </si>
  <si>
    <t>A continuación, se describen los retrasos y soluciones acaecidos durante las vigencias 2020 a 2022 en lo que respecta al avance de la Meta PDD 401: Alcanzar el 60% del ciclo de vida del proyecto PLMB-T1. Estos, son: 
1. Teniendo en cuenta que, la entrega de predios al concesionario se ha efectuado conforme éstos se presentan disponibles, anticipando en muchos casos las fechas máximas de entrega establecidas en el Apéndice Técnico (AT) 12, en aras de 
armonizar los cronogramas con la nueva realidad de la gestión predial realizada para el desarrollo de la PLMB, se ha adelantado la suscripción del modificatorio No. 7 al AT 12 del contrato de concesión y así conseguir sincronizar ambos procesos.
2. Con el fin de minimizar el riesgo de atraso, se ha hecho necesario diseñar e implementar planes de contingencia en algunos grupos de interferencias de la EAAB y de CODENSA, situación que ha derivado en el ajuste del cronograma de traslado de 
interferencias a fechas de entrega según Anexo Técnico 12. Así mismo, propender por la terminación de las interferencias de TELEFÓNICA y, coordinar y realizar el seguimiento a las obras a cargo de la EAAB</t>
  </si>
  <si>
    <t xml:space="preserve">A continuación, se describen las actividades más relevantes realizadas durante los años 2020 a 2022 en lo que respecta de la Meta PDD 401: Alcanzar el 60% del ciclo de vida del proyecto PLMB-T1. Estas, son: 
1. A 31 de diciembre de 2022 el % de obra acumulado ejecutado del contrato de concesión presenta un avance de 8.03% frente al 30% programado para el cuatrienio, éste corresponde al avance total de la etapa preoperativa del contrato de concesión.
2. En el marco de la PMO han sido entregados por el contratista el total de los 24 informes programados para las vigencias 2021 y 2022. La EMB ha aprobado a la fecha 22 informes; es decir; de enero 2021 hasta octubre de 2022, los 2 restantes están 
en proceso de ajuste por parte de la PMO para su posterior aprobación y pago. 
3. En el marco de la interventoría han sido entregados por el contratista el total de los 24 informes programados para las vigencias 2021 y 2022. La EMB ha aprobado a la fecha 23 informes; es decir; de enero 2021 hasta noviembre de 2022, el restante 
está en proceso de ajuste por parte de la interventoría para su posterior aprobación y pago.
4. De total de los 1427 predios requeridos por el concesionario, entre las vigencias 2020 a 2022, la EMB ha entregado y colocado a disposición del concesionario 941 predios, donde 77 fueron en 2020, 33 en 2021 y 831 en 2022.
5. Frente al traslado anticipado de interferencias (TAR) desde el año 2020 y hasta el 31 de diciembre de 2022 de las 115 interferencias programadas se ejecutaron un total de 80 interferencias, así: EAAB ¿ 14 ejecutadas, ENEL ¿ 6 ejecutadas, ETB ¿ 39
ejecutadas, VANTI ¿ 11 ejecutadas y, TELEFÓNICA ¿ 10 ejecutadas. Cabe mencionar que, 9 corresponden al 2020, 49 al 2021 y, 22 al 2022. 
6. En la fase de preconstrucción y construcción del proyecto, entre las vigencias 2020 a 2021, se logró informar a 2.925.757 ciudadanos sobre las características, beneficios y avances del proyecto. No obstante, a partir del año 2021 se inició la 
promoción de las actividades de comunicación, participación ciudadana y gestión social a través de talleres, cabildos, conferencias, rendición de cuentas y, estrategias pedagógicas como: Recorriendo Nuestro Metro y, Nuestros Encuentros Ciudadanos. 
Finalmente, en la vigencia 2022 se surtió el proceso de adjudicación para el operador logístico que acompañará las actividades de comunicación del proyecto durante el cuatrienio.
</t>
  </si>
  <si>
    <t>Las acciones desarrolladas para el cumplimiento de la meta en ambos indicadores son las siguientes:
En lo corrido del plan de Desarrollo 2020- 2022, entre los avances más destacados con el fin de alcanzar la meta, la Secretaría Distrital de Movilidad - SDM evaluó el estudio presentado por Transmilenio S.A., para el aumento de tarifas 2020 y participó
en la proyección del Decreto Distrital 073 de 2020 por el cual se actualizaron las tarifas del SITP. Este Decreto aumentó la tarifa general del sistema y congeló la tarifa para las poblaciones adulto mayor y personas con menor capacidad de pago, con el
fin de avanzar hacia una política tarifaria más incluyente y se mantuvo en 2022.
Así mismo, el Decreto Distrital 005 de 2022 Por medio del cual se actualiza la tarifa del servicio del Sistema integrado de Transporte Público - SITP en sus componentes zonal y troncal y se dictan otras disposiciones; mantuvo las tarifas para las
poblaciones adulto mayor y personas con menor capacidad de pago en el 2022.
Es importante mencionar que la pandemia afectó el desarrollo socioeconómico de los hogares, disminuyendo los ingresos de las familias y dificultando el desarrollo de políticas públicas en el largo plazo.
Por otra parte, se proyectó Decreto para el cambio del beneficio para la población con menor capacidad de pago pasando de utilizar la base de datos de Sisben 3 a Sisben 4. En el mismo será incluida la población Indígena.
Es importante señalar que la programación y cumplimiento corrido Plan de Desarrollo corresponde a los datos de la línea base, teniendo en cuenta que la producción de información estadística en el Distrito se realiza regularmente en periodos de 4 años,
como es el caso de la encuesta de movilidad (fuente de información para la medición del indicador). No obstante, la SDM revisó la metodología utilizando otras fuentes de información secundaria con periodicidad anual como la Medición de Pobreza
Monetaria y Desigualdad 2021 publicada por el DANE y el Informe de gasto de los hogares en Bogotá (realizado por la firma Raddar Consumer Knowledge Group).
La utilización de fuentes de información diferentes a las utilizadas en la línea base permite hacer un seguimiento del comportamiento preliminar del indicador, no obstante se resalta que los resultados obtenidos están significativamente alejados de la
línea base, teniendo en cuenta que las variables y técnicas para la captura y/o análisis de la información de cada fuente (por ejemplo: el tamaño de la muestra, la composición de la población, los estadísticos utilizados, el margen de error, entre otros)
son diferentes frente a los utilizados en la medición de la línea base.
Una vez revisada la viabilidad de la información suministrada por el DANE 2021, se calculó el gasto de los hogares para 2021 con el fin de tener una medición parcial del indicador, sin embargo, la medición definitiva del mismo se dará con los datos de la
encuesta de movilidad 2023.</t>
  </si>
  <si>
    <t>Este programa tiene como objetivo contribuir a que los hogares vulnerables económicamente mejoren sus ingresos y su calidad de vida, al tener acceso y disfrute igualitario y con calidad al sistema de movilidad de Bogotá, y por ende a las oportunidades
laborales, educativas y culturales que ofrece la ciudad.</t>
  </si>
  <si>
    <t>La entidad responsable manifiesta para ambos indicadores, que aún cuando desde la Secretaria Distrital de Movilidad se implementan mecanismos internos para medición de variables socioeconómicas, la fuente de información estalecida para los indicadores de gasto para los estratos I y II es la Encuesta de Movilidad del año 2019, la cual se genera cada 4 años, razón por la cual se mantiene para la presente vigencia la linea base establecida en dicha encuesta de movilidad año 2019.</t>
  </si>
  <si>
    <t>409 Kilometros de malla vial construidos</t>
  </si>
  <si>
    <t>405 kilometros de cicloruta conservados</t>
  </si>
  <si>
    <t>406 kilometros de cicloruta conservados</t>
  </si>
  <si>
    <t xml:space="preserve">406  Kilómetros de malla vial </t>
  </si>
  <si>
    <t>411  Estrategias de cultura ciudadana implementadas</t>
  </si>
  <si>
    <t>412  Estrategias de cultura ciudadana implementadas</t>
  </si>
  <si>
    <t>413  Estrategias de cultura ciudadana implementadas</t>
  </si>
  <si>
    <t>414  Estrategias de cultura ciudadana implementadas</t>
  </si>
  <si>
    <t>415 Estrategia implementada para la calidad del Transporte público urbano regional</t>
  </si>
  <si>
    <t xml:space="preserve">Programado 2020
</t>
  </si>
  <si>
    <t>Ejecutado
 2020</t>
  </si>
  <si>
    <t>Ejecutado
 2021</t>
  </si>
  <si>
    <t>Programado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</si>
</sst>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0.0%"/>
    <numFmt numFmtId="181" formatCode="_-* #,##0.00_-;\-* #,##0.00_-;_-* &quot;-&quot;_-;_-@_-"/>
    <numFmt numFmtId="182" formatCode="_-* #,##0.0_-;\-* #,##0.0_-;_-* &quot;-&quot;_-;_-@_-"/>
    <numFmt numFmtId="183" formatCode="#,##0.0"/>
    <numFmt numFmtId="184" formatCode="0.000"/>
    <numFmt numFmtId="185" formatCode="#,##0,,"/>
    <numFmt numFmtId="186" formatCode="&quot;$&quot;\ #,##0"/>
    <numFmt numFmtId="187" formatCode="_-* #,##0.0000_-;\-* #,##0.0000_-;_-* &quot;-&quot;_-;_-@_-"/>
  </numFmts>
  <fonts count="27"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sz val="10"/>
      <name val="Arial"/>
      <family val="2"/>
    </font>
    <font>
      <sz val="10"/>
      <name val="Calibri"/>
      <family val="2"/>
      <scheme val="minor"/>
    </font>
    <font>
      <b/>
      <sz val="10"/>
      <name val="Calibri"/>
      <family val="2"/>
      <scheme val="minor"/>
    </font>
    <font>
      <sz val="10"/>
      <color theme="0"/>
      <name val="Calibri"/>
      <family val="2"/>
      <scheme val="minor"/>
    </font>
    <font>
      <sz val="10"/>
      <color theme="1"/>
      <name val="Calibri"/>
      <family val="2"/>
      <scheme val="minor"/>
    </font>
    <font>
      <sz val="10"/>
      <color rgb="FF000000"/>
      <name val="Calibri"/>
      <family val="2"/>
      <scheme val="minor"/>
    </font>
    <font>
      <sz val="11"/>
      <name val="Calibri"/>
      <family val="2"/>
      <scheme val="minor"/>
    </font>
  </fonts>
  <fills count="7">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34998626667073579"/>
        <bgColor indexed="64"/>
      </patternFill>
    </fill>
    <fill>
      <patternFill patternType="solid">
        <fgColor theme="0"/>
        <bgColor indexed="64"/>
      </patternFill>
    </fill>
  </fills>
  <borders count="1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s>
  <cellStyleXfs count="145">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20" fillId="0" borderId="0" applyFont="0" applyFill="0" applyBorder="0" applyAlignment="0" applyProtection="0"/>
  </cellStyleXfs>
  <cellXfs count="204">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43" fontId="0" fillId="0" borderId="0" xfId="144" applyFont="1"/>
    <xf numFmtId="43" fontId="0" fillId="0" borderId="0" xfId="0" applyNumberFormat="1"/>
    <xf numFmtId="0" fontId="21" fillId="0" borderId="0" xfId="0" applyFont="1" applyBorder="1" applyAlignment="1">
      <alignment horizontal="justify" vertical="center" wrapText="1"/>
    </xf>
    <xf numFmtId="0" fontId="22" fillId="0" borderId="0" xfId="0" applyFont="1" applyBorder="1" applyAlignment="1">
      <alignment horizontal="right" vertical="center" wrapText="1"/>
    </xf>
    <xf numFmtId="0" fontId="21" fillId="0" borderId="0" xfId="0" applyFont="1" applyBorder="1" applyAlignment="1">
      <alignment horizontal="right" vertical="center" wrapText="1"/>
    </xf>
    <xf numFmtId="9" fontId="21" fillId="0" borderId="0" xfId="99" applyFont="1" applyBorder="1" applyAlignment="1">
      <alignment horizontal="justify" vertical="center" wrapText="1"/>
    </xf>
    <xf numFmtId="0" fontId="21" fillId="6" borderId="0" xfId="0" applyFont="1" applyFill="1" applyBorder="1" applyAlignment="1">
      <alignment horizontal="right" vertical="center" wrapText="1"/>
    </xf>
    <xf numFmtId="41" fontId="21" fillId="0" borderId="0" xfId="112" applyFont="1" applyBorder="1" applyAlignment="1">
      <alignment horizontal="right" vertical="center" wrapText="1"/>
    </xf>
    <xf numFmtId="185" fontId="21" fillId="0" borderId="0" xfId="0" applyNumberFormat="1" applyFont="1" applyBorder="1" applyAlignment="1">
      <alignment horizontal="right" vertical="center" wrapText="1"/>
    </xf>
    <xf numFmtId="0" fontId="21" fillId="0" borderId="0" xfId="0" applyFont="1" applyAlignment="1">
      <alignment horizontal="justify" vertical="center" wrapText="1"/>
    </xf>
    <xf numFmtId="0" fontId="21" fillId="0" borderId="3" xfId="0" applyFont="1" applyFill="1" applyBorder="1" applyAlignment="1" applyProtection="1">
      <alignment horizontal="justify" vertical="center"/>
    </xf>
    <xf numFmtId="0" fontId="22" fillId="0" borderId="3" xfId="0" applyFont="1" applyFill="1" applyBorder="1" applyAlignment="1" applyProtection="1">
      <alignment horizontal="justify" vertical="center" wrapText="1"/>
    </xf>
    <xf numFmtId="0" fontId="23" fillId="0" borderId="0" xfId="0" applyFont="1" applyBorder="1" applyAlignment="1">
      <alignment horizontal="justify" vertical="center" wrapText="1"/>
    </xf>
    <xf numFmtId="0" fontId="22" fillId="6" borderId="3" xfId="0" applyFont="1" applyFill="1" applyBorder="1" applyAlignment="1">
      <alignment horizontal="justify" vertical="center"/>
    </xf>
    <xf numFmtId="0" fontId="21" fillId="0" borderId="7" xfId="0" applyFont="1" applyFill="1" applyBorder="1" applyAlignment="1" applyProtection="1">
      <alignment horizontal="justify" vertical="center" wrapText="1"/>
    </xf>
    <xf numFmtId="0" fontId="21" fillId="0" borderId="8" xfId="0" applyFont="1" applyFill="1" applyBorder="1" applyAlignment="1" applyProtection="1">
      <alignment horizontal="justify" vertical="center" wrapText="1"/>
    </xf>
    <xf numFmtId="0" fontId="21" fillId="0" borderId="9" xfId="0" applyFont="1" applyFill="1" applyBorder="1" applyAlignment="1" applyProtection="1">
      <alignment horizontal="justify" vertical="center" wrapText="1"/>
    </xf>
    <xf numFmtId="15" fontId="21" fillId="0" borderId="3" xfId="0" applyNumberFormat="1" applyFont="1" applyFill="1" applyBorder="1" applyAlignment="1">
      <alignment horizontal="justify" vertical="center" wrapText="1"/>
    </xf>
    <xf numFmtId="0" fontId="22" fillId="5" borderId="3" xfId="0" applyFont="1" applyFill="1" applyBorder="1" applyAlignment="1">
      <alignment horizontal="center" vertical="center" wrapText="1"/>
    </xf>
    <xf numFmtId="0" fontId="22" fillId="5" borderId="3" xfId="0" applyFont="1" applyFill="1" applyBorder="1" applyAlignment="1">
      <alignment horizontal="justify" vertical="center" wrapText="1"/>
    </xf>
    <xf numFmtId="0" fontId="22" fillId="5" borderId="7" xfId="0" applyFont="1" applyFill="1" applyBorder="1" applyAlignment="1" applyProtection="1">
      <alignment horizontal="center" vertical="center" wrapText="1"/>
      <protection locked="0"/>
    </xf>
    <xf numFmtId="0" fontId="22" fillId="5" borderId="9" xfId="0" applyFont="1" applyFill="1" applyBorder="1" applyAlignment="1" applyProtection="1">
      <alignment horizontal="center" vertical="center" wrapText="1"/>
      <protection locked="0"/>
    </xf>
    <xf numFmtId="0" fontId="22" fillId="5" borderId="13" xfId="0" applyFont="1" applyFill="1" applyBorder="1" applyAlignment="1" applyProtection="1">
      <alignment horizontal="center" vertical="center" wrapText="1"/>
      <protection locked="0"/>
    </xf>
    <xf numFmtId="9" fontId="22" fillId="5" borderId="13" xfId="99" applyFont="1" applyFill="1" applyBorder="1" applyAlignment="1" applyProtection="1">
      <alignment horizontal="center" vertical="center" wrapText="1"/>
      <protection locked="0"/>
    </xf>
    <xf numFmtId="0" fontId="22" fillId="5" borderId="15" xfId="0" applyFont="1" applyFill="1" applyBorder="1" applyAlignment="1" applyProtection="1">
      <alignment horizontal="center" vertical="center" wrapText="1"/>
      <protection locked="0"/>
    </xf>
    <xf numFmtId="0" fontId="22" fillId="5" borderId="16" xfId="0" applyFont="1" applyFill="1" applyBorder="1" applyAlignment="1" applyProtection="1">
      <alignment horizontal="center" vertical="center" wrapText="1"/>
      <protection locked="0"/>
    </xf>
    <xf numFmtId="0" fontId="22" fillId="5" borderId="4" xfId="0" applyFont="1" applyFill="1" applyBorder="1" applyAlignment="1" applyProtection="1">
      <alignment horizontal="center" vertical="center" wrapText="1"/>
      <protection locked="0"/>
    </xf>
    <xf numFmtId="0" fontId="22" fillId="5" borderId="3" xfId="0" applyFont="1" applyFill="1" applyBorder="1" applyAlignment="1" applyProtection="1">
      <alignment horizontal="center" vertical="center" wrapText="1"/>
      <protection locked="0"/>
    </xf>
    <xf numFmtId="0" fontId="22" fillId="5" borderId="14" xfId="0" applyFont="1" applyFill="1" applyBorder="1" applyAlignment="1" applyProtection="1">
      <alignment horizontal="center" vertical="center" wrapText="1"/>
      <protection locked="0"/>
    </xf>
    <xf numFmtId="9" fontId="22" fillId="5" borderId="14" xfId="99" applyFont="1" applyFill="1" applyBorder="1" applyAlignment="1" applyProtection="1">
      <alignment horizontal="center" vertical="center" wrapText="1"/>
      <protection locked="0"/>
    </xf>
    <xf numFmtId="0" fontId="22" fillId="5" borderId="11" xfId="0" applyFont="1" applyFill="1" applyBorder="1" applyAlignment="1" applyProtection="1">
      <alignment horizontal="center" vertical="center" wrapText="1"/>
      <protection locked="0"/>
    </xf>
    <xf numFmtId="0" fontId="22" fillId="5" borderId="12" xfId="0" applyFont="1" applyFill="1" applyBorder="1" applyAlignment="1" applyProtection="1">
      <alignment horizontal="center" vertical="center" wrapText="1"/>
      <protection locked="0"/>
    </xf>
    <xf numFmtId="0" fontId="22" fillId="5" borderId="17" xfId="0" applyFont="1" applyFill="1" applyBorder="1" applyAlignment="1" applyProtection="1">
      <alignment horizontal="center" vertical="center" wrapText="1"/>
      <protection locked="0"/>
    </xf>
    <xf numFmtId="0" fontId="22" fillId="5" borderId="4" xfId="0" applyFont="1" applyFill="1" applyBorder="1" applyAlignment="1">
      <alignment horizontal="justify" vertical="center" textRotation="255" wrapText="1"/>
    </xf>
    <xf numFmtId="0" fontId="22" fillId="5" borderId="6" xfId="0" applyFont="1" applyFill="1" applyBorder="1" applyAlignment="1" applyProtection="1">
      <alignment horizontal="center" vertical="center" wrapText="1"/>
      <protection locked="0"/>
    </xf>
    <xf numFmtId="9" fontId="22" fillId="5" borderId="6" xfId="99" applyFont="1" applyFill="1" applyBorder="1" applyAlignment="1" applyProtection="1">
      <alignment horizontal="center" vertical="center" wrapText="1"/>
      <protection locked="0"/>
    </xf>
    <xf numFmtId="185" fontId="22" fillId="5" borderId="13" xfId="112" applyNumberFormat="1" applyFont="1" applyFill="1" applyBorder="1" applyAlignment="1" applyProtection="1">
      <alignment horizontal="right" vertical="center" wrapText="1"/>
      <protection locked="0"/>
    </xf>
    <xf numFmtId="0" fontId="21" fillId="6" borderId="0" xfId="0" applyFont="1" applyFill="1" applyAlignment="1">
      <alignment horizontal="justify" vertical="center" wrapText="1"/>
    </xf>
    <xf numFmtId="0" fontId="22" fillId="5" borderId="5" xfId="0" applyFont="1" applyFill="1" applyBorder="1" applyAlignment="1">
      <alignment horizontal="justify" vertical="center" textRotation="255" wrapText="1"/>
    </xf>
    <xf numFmtId="0" fontId="21" fillId="6" borderId="3" xfId="0" applyFont="1" applyFill="1" applyBorder="1" applyAlignment="1" applyProtection="1">
      <alignment horizontal="justify" vertical="center" wrapText="1"/>
    </xf>
    <xf numFmtId="0" fontId="21" fillId="6" borderId="3" xfId="0" applyFont="1" applyFill="1" applyBorder="1" applyAlignment="1" applyProtection="1">
      <alignment horizontal="justify" vertical="center" wrapText="1"/>
      <protection locked="0"/>
    </xf>
    <xf numFmtId="2" fontId="22" fillId="6" borderId="3" xfId="0" applyNumberFormat="1" applyFont="1" applyFill="1" applyBorder="1" applyAlignment="1" applyProtection="1">
      <alignment horizontal="right" vertical="center" wrapText="1"/>
      <protection locked="0"/>
    </xf>
    <xf numFmtId="2" fontId="21" fillId="6" borderId="3" xfId="0" applyNumberFormat="1" applyFont="1" applyFill="1" applyBorder="1" applyAlignment="1" applyProtection="1">
      <alignment horizontal="right" vertical="center" wrapText="1"/>
      <protection locked="0"/>
    </xf>
    <xf numFmtId="0" fontId="21" fillId="6" borderId="3" xfId="0" applyFont="1" applyFill="1" applyBorder="1" applyAlignment="1" applyProtection="1">
      <alignment horizontal="right" vertical="center" wrapText="1"/>
      <protection locked="0"/>
    </xf>
    <xf numFmtId="4" fontId="21" fillId="6" borderId="3" xfId="142" applyNumberFormat="1" applyFont="1" applyFill="1" applyBorder="1" applyAlignment="1" applyProtection="1">
      <alignment horizontal="right" vertical="center" wrapText="1"/>
      <protection locked="0"/>
    </xf>
    <xf numFmtId="2" fontId="21" fillId="6" borderId="3" xfId="0" applyNumberFormat="1" applyFont="1" applyFill="1" applyBorder="1" applyAlignment="1" applyProtection="1">
      <alignment vertical="center" wrapText="1"/>
      <protection locked="0"/>
    </xf>
    <xf numFmtId="10" fontId="21" fillId="6" borderId="3" xfId="99" applyNumberFormat="1" applyFont="1" applyFill="1" applyBorder="1" applyAlignment="1" applyProtection="1">
      <alignment vertical="center" wrapText="1"/>
      <protection locked="0"/>
    </xf>
    <xf numFmtId="0" fontId="21" fillId="6" borderId="3" xfId="0" applyFont="1" applyFill="1" applyBorder="1" applyAlignment="1" applyProtection="1">
      <alignment horizontal="right" vertical="center"/>
      <protection locked="0"/>
    </xf>
    <xf numFmtId="181" fontId="21" fillId="6" borderId="3" xfId="112" applyNumberFormat="1" applyFont="1" applyFill="1" applyBorder="1" applyAlignment="1" applyProtection="1">
      <alignment horizontal="right" vertical="center"/>
      <protection locked="0"/>
    </xf>
    <xf numFmtId="181" fontId="21" fillId="6" borderId="3" xfId="0" applyNumberFormat="1" applyFont="1" applyFill="1" applyBorder="1" applyAlignment="1" applyProtection="1">
      <alignment horizontal="right" vertical="center" wrapText="1"/>
      <protection locked="0"/>
    </xf>
    <xf numFmtId="10" fontId="21" fillId="6" borderId="3" xfId="99" applyNumberFormat="1" applyFont="1" applyFill="1" applyBorder="1" applyAlignment="1" applyProtection="1">
      <alignment horizontal="right" vertical="center" wrapText="1"/>
      <protection locked="0"/>
    </xf>
    <xf numFmtId="0" fontId="21" fillId="6" borderId="3" xfId="0" applyFont="1" applyFill="1" applyBorder="1" applyAlignment="1" applyProtection="1">
      <alignment horizontal="justify" vertical="center" wrapText="1"/>
      <protection locked="0"/>
    </xf>
    <xf numFmtId="41" fontId="21" fillId="6" borderId="3" xfId="112" applyFont="1" applyFill="1" applyBorder="1" applyAlignment="1" applyProtection="1">
      <alignment horizontal="right" vertical="center" wrapText="1"/>
      <protection locked="0"/>
    </xf>
    <xf numFmtId="185" fontId="21" fillId="6" borderId="3" xfId="143" applyNumberFormat="1" applyFont="1" applyFill="1" applyBorder="1" applyAlignment="1">
      <alignment horizontal="right" vertical="center" wrapText="1"/>
    </xf>
    <xf numFmtId="185" fontId="21" fillId="6" borderId="7" xfId="143" applyNumberFormat="1" applyFont="1" applyFill="1" applyBorder="1" applyAlignment="1">
      <alignment horizontal="right" vertical="center" wrapText="1"/>
    </xf>
    <xf numFmtId="0" fontId="21" fillId="6" borderId="0" xfId="0" applyFont="1" applyFill="1" applyBorder="1" applyAlignment="1">
      <alignment horizontal="justify" vertical="center" wrapText="1"/>
    </xf>
    <xf numFmtId="41" fontId="21" fillId="6" borderId="3" xfId="112" applyFont="1" applyFill="1" applyBorder="1" applyAlignment="1" applyProtection="1">
      <alignment horizontal="right" vertical="center"/>
      <protection locked="0"/>
    </xf>
    <xf numFmtId="0" fontId="21" fillId="6" borderId="3" xfId="0" applyFont="1" applyFill="1" applyBorder="1" applyAlignment="1" applyProtection="1">
      <alignment horizontal="justify" vertical="center" wrapText="1"/>
    </xf>
    <xf numFmtId="4" fontId="22" fillId="6" borderId="3" xfId="112" applyNumberFormat="1" applyFont="1" applyFill="1" applyBorder="1" applyAlignment="1">
      <alignment horizontal="right" vertical="center" wrapText="1"/>
    </xf>
    <xf numFmtId="4" fontId="21" fillId="6" borderId="3" xfId="112" applyNumberFormat="1" applyFont="1" applyFill="1" applyBorder="1" applyAlignment="1" applyProtection="1">
      <alignment horizontal="right" vertical="center" wrapText="1"/>
      <protection locked="0"/>
    </xf>
    <xf numFmtId="0" fontId="21" fillId="6" borderId="3" xfId="0" applyFont="1" applyFill="1" applyBorder="1" applyAlignment="1">
      <alignment horizontal="justify" vertical="center" wrapText="1"/>
    </xf>
    <xf numFmtId="41" fontId="21" fillId="6" borderId="3" xfId="112" applyFont="1" applyFill="1" applyBorder="1" applyAlignment="1">
      <alignment horizontal="right" vertical="center"/>
    </xf>
    <xf numFmtId="185" fontId="21" fillId="6" borderId="3" xfId="143" applyNumberFormat="1" applyFont="1" applyFill="1" applyBorder="1" applyAlignment="1">
      <alignment horizontal="right" vertical="center"/>
    </xf>
    <xf numFmtId="185" fontId="21" fillId="6" borderId="7" xfId="143" applyNumberFormat="1" applyFont="1" applyFill="1" applyBorder="1" applyAlignment="1">
      <alignment horizontal="right" vertical="center"/>
    </xf>
    <xf numFmtId="185" fontId="21" fillId="6" borderId="3" xfId="143" applyNumberFormat="1" applyFont="1" applyFill="1" applyBorder="1" applyAlignment="1">
      <alignment horizontal="right" vertical="center" wrapText="1"/>
    </xf>
    <xf numFmtId="185" fontId="21" fillId="6" borderId="7" xfId="143" applyNumberFormat="1" applyFont="1" applyFill="1" applyBorder="1" applyAlignment="1">
      <alignment horizontal="right" vertical="center" wrapText="1"/>
    </xf>
    <xf numFmtId="0" fontId="22" fillId="6" borderId="5" xfId="0" applyFont="1" applyFill="1" applyBorder="1" applyAlignment="1">
      <alignment horizontal="justify" vertical="center" textRotation="255" wrapText="1"/>
    </xf>
    <xf numFmtId="4" fontId="22" fillId="6" borderId="3" xfId="142" applyNumberFormat="1" applyFont="1" applyFill="1" applyBorder="1" applyAlignment="1">
      <alignment horizontal="right" vertical="center" wrapText="1"/>
    </xf>
    <xf numFmtId="0" fontId="21" fillId="6" borderId="3" xfId="0" applyFont="1" applyFill="1" applyBorder="1" applyAlignment="1" applyProtection="1">
      <alignment vertical="center" wrapText="1"/>
      <protection locked="0"/>
    </xf>
    <xf numFmtId="41" fontId="21" fillId="6" borderId="3" xfId="0" applyNumberFormat="1" applyFont="1" applyFill="1" applyBorder="1" applyAlignment="1" applyProtection="1">
      <alignment horizontal="right" vertical="center" wrapText="1"/>
      <protection locked="0"/>
    </xf>
    <xf numFmtId="9" fontId="21" fillId="6" borderId="3" xfId="99" applyFont="1" applyFill="1" applyBorder="1" applyAlignment="1" applyProtection="1">
      <alignment horizontal="right" vertical="center" wrapText="1"/>
      <protection locked="0"/>
    </xf>
    <xf numFmtId="41" fontId="21" fillId="6" borderId="3" xfId="112" applyFont="1" applyFill="1" applyBorder="1" applyAlignment="1">
      <alignment horizontal="right" vertical="center"/>
    </xf>
    <xf numFmtId="185" fontId="21" fillId="6" borderId="3" xfId="143" applyNumberFormat="1" applyFont="1" applyFill="1" applyBorder="1" applyAlignment="1">
      <alignment horizontal="right" vertical="center"/>
    </xf>
    <xf numFmtId="185" fontId="21" fillId="6" borderId="7" xfId="143" applyNumberFormat="1" applyFont="1" applyFill="1" applyBorder="1" applyAlignment="1">
      <alignment horizontal="right" vertical="center"/>
    </xf>
    <xf numFmtId="0" fontId="21" fillId="6" borderId="3" xfId="0" applyFont="1" applyFill="1" applyBorder="1" applyAlignment="1">
      <alignment horizontal="justify" vertical="center" wrapText="1"/>
    </xf>
    <xf numFmtId="4" fontId="21" fillId="6" borderId="3" xfId="0" applyNumberFormat="1" applyFont="1" applyFill="1" applyBorder="1" applyAlignment="1" applyProtection="1">
      <alignment vertical="center" wrapText="1"/>
      <protection locked="0"/>
    </xf>
    <xf numFmtId="181" fontId="21" fillId="6" borderId="3" xfId="142" applyNumberFormat="1" applyFont="1" applyFill="1" applyBorder="1" applyAlignment="1" applyProtection="1">
      <alignment horizontal="right" vertical="center"/>
      <protection locked="0"/>
    </xf>
    <xf numFmtId="41" fontId="21" fillId="6" borderId="3" xfId="142" applyFont="1" applyFill="1" applyBorder="1" applyAlignment="1">
      <alignment horizontal="right" vertical="center"/>
    </xf>
    <xf numFmtId="4" fontId="21" fillId="6" borderId="3" xfId="112" applyNumberFormat="1" applyFont="1" applyFill="1" applyBorder="1" applyAlignment="1">
      <alignment vertical="center" wrapText="1"/>
    </xf>
    <xf numFmtId="4" fontId="21" fillId="6" borderId="3" xfId="0" applyNumberFormat="1" applyFont="1" applyFill="1" applyBorder="1" applyAlignment="1" applyProtection="1">
      <alignment horizontal="right" vertical="center"/>
      <protection locked="0"/>
    </xf>
    <xf numFmtId="4" fontId="21" fillId="6" borderId="3" xfId="0" applyNumberFormat="1" applyFont="1" applyFill="1" applyBorder="1" applyAlignment="1" applyProtection="1">
      <alignment horizontal="right" vertical="center" wrapText="1"/>
      <protection locked="0"/>
    </xf>
    <xf numFmtId="41" fontId="21" fillId="6" borderId="3" xfId="112" applyFont="1" applyFill="1" applyBorder="1" applyAlignment="1" applyProtection="1">
      <alignment horizontal="right" vertical="center" wrapText="1"/>
      <protection locked="0"/>
    </xf>
    <xf numFmtId="185" fontId="21" fillId="6" borderId="3" xfId="143" applyNumberFormat="1" applyFont="1" applyFill="1" applyBorder="1" applyAlignment="1" applyProtection="1">
      <alignment horizontal="right" vertical="center" wrapText="1"/>
      <protection locked="0"/>
    </xf>
    <xf numFmtId="185" fontId="21" fillId="6" borderId="7" xfId="143" applyNumberFormat="1" applyFont="1" applyFill="1" applyBorder="1" applyAlignment="1" applyProtection="1">
      <alignment horizontal="right" vertical="center" wrapText="1"/>
      <protection locked="0"/>
    </xf>
    <xf numFmtId="182" fontId="21" fillId="6" borderId="3" xfId="112" applyNumberFormat="1" applyFont="1" applyFill="1" applyBorder="1" applyAlignment="1" applyProtection="1">
      <alignment horizontal="right" vertical="center"/>
      <protection locked="0"/>
    </xf>
    <xf numFmtId="4" fontId="22" fillId="6" borderId="3" xfId="112" applyNumberFormat="1" applyFont="1" applyFill="1" applyBorder="1" applyAlignment="1" applyProtection="1">
      <alignment horizontal="right" vertical="center" wrapText="1"/>
      <protection locked="0"/>
    </xf>
    <xf numFmtId="4" fontId="21" fillId="6" borderId="3" xfId="112" applyNumberFormat="1" applyFont="1" applyFill="1" applyBorder="1" applyAlignment="1" applyProtection="1">
      <alignment vertical="center" wrapText="1"/>
      <protection locked="0"/>
    </xf>
    <xf numFmtId="185" fontId="21" fillId="6" borderId="3" xfId="113" applyNumberFormat="1" applyFont="1" applyFill="1" applyBorder="1" applyAlignment="1" applyProtection="1">
      <alignment horizontal="right" vertical="center" wrapText="1"/>
      <protection locked="0"/>
    </xf>
    <xf numFmtId="185" fontId="21" fillId="6" borderId="7" xfId="113" applyNumberFormat="1" applyFont="1" applyFill="1" applyBorder="1" applyAlignment="1" applyProtection="1">
      <alignment horizontal="right" vertical="center" wrapText="1"/>
      <protection locked="0"/>
    </xf>
    <xf numFmtId="3" fontId="21" fillId="6" borderId="3" xfId="0" applyNumberFormat="1" applyFont="1" applyFill="1" applyBorder="1" applyAlignment="1" applyProtection="1">
      <alignment horizontal="right" vertical="center" wrapText="1"/>
      <protection locked="0"/>
    </xf>
    <xf numFmtId="10" fontId="21" fillId="6" borderId="3" xfId="99" applyNumberFormat="1" applyFont="1" applyFill="1" applyBorder="1" applyAlignment="1" applyProtection="1">
      <alignment horizontal="right" vertical="center"/>
      <protection locked="0"/>
    </xf>
    <xf numFmtId="185" fontId="21" fillId="6" borderId="3" xfId="143" applyNumberFormat="1" applyFont="1" applyFill="1" applyBorder="1" applyAlignment="1" applyProtection="1">
      <alignment horizontal="right" vertical="center" wrapText="1"/>
      <protection locked="0"/>
    </xf>
    <xf numFmtId="185" fontId="21" fillId="6" borderId="7" xfId="143" applyNumberFormat="1" applyFont="1" applyFill="1" applyBorder="1" applyAlignment="1" applyProtection="1">
      <alignment horizontal="right" vertical="center" wrapText="1"/>
      <protection locked="0"/>
    </xf>
    <xf numFmtId="0" fontId="21" fillId="6" borderId="3" xfId="0" applyFont="1" applyFill="1" applyBorder="1" applyAlignment="1" applyProtection="1">
      <alignment horizontal="right" vertical="center"/>
      <protection locked="0"/>
    </xf>
    <xf numFmtId="9" fontId="21" fillId="6" borderId="3" xfId="99" applyFont="1" applyFill="1" applyBorder="1" applyAlignment="1" applyProtection="1">
      <alignment vertical="center" wrapText="1"/>
      <protection locked="0"/>
    </xf>
    <xf numFmtId="41" fontId="21" fillId="6" borderId="3" xfId="142" applyFont="1" applyFill="1" applyBorder="1" applyAlignment="1" applyProtection="1">
      <alignment horizontal="right" vertical="center"/>
      <protection locked="0"/>
    </xf>
    <xf numFmtId="43" fontId="21" fillId="6" borderId="3" xfId="0" applyNumberFormat="1" applyFont="1" applyFill="1" applyBorder="1" applyAlignment="1" applyProtection="1">
      <alignment horizontal="right" vertical="center" wrapText="1"/>
      <protection locked="0"/>
    </xf>
    <xf numFmtId="41" fontId="21" fillId="6" borderId="3" xfId="142" applyFont="1" applyFill="1" applyBorder="1" applyAlignment="1" applyProtection="1">
      <alignment horizontal="right" vertical="center" wrapText="1"/>
      <protection locked="0"/>
    </xf>
    <xf numFmtId="180" fontId="21" fillId="6" borderId="3" xfId="99" applyNumberFormat="1" applyFont="1" applyFill="1" applyBorder="1" applyAlignment="1" applyProtection="1">
      <alignment horizontal="right" vertical="center" wrapText="1"/>
      <protection locked="0"/>
    </xf>
    <xf numFmtId="185" fontId="21" fillId="6" borderId="3" xfId="112" applyNumberFormat="1" applyFont="1" applyFill="1" applyBorder="1" applyAlignment="1" applyProtection="1">
      <alignment horizontal="right" vertical="center" wrapText="1"/>
      <protection locked="0"/>
    </xf>
    <xf numFmtId="4" fontId="22" fillId="6" borderId="3" xfId="142" applyNumberFormat="1" applyFont="1" applyFill="1" applyBorder="1" applyAlignment="1" applyProtection="1">
      <alignment horizontal="right" vertical="center" wrapText="1"/>
      <protection locked="0"/>
    </xf>
    <xf numFmtId="4" fontId="21" fillId="6" borderId="3" xfId="142" applyNumberFormat="1" applyFont="1" applyFill="1" applyBorder="1" applyAlignment="1" applyProtection="1">
      <alignment vertical="center" wrapText="1"/>
      <protection locked="0"/>
    </xf>
    <xf numFmtId="180" fontId="21" fillId="6" borderId="3" xfId="99" applyNumberFormat="1" applyFont="1" applyFill="1" applyBorder="1" applyAlignment="1" applyProtection="1">
      <alignment vertical="center" wrapText="1"/>
      <protection locked="0"/>
    </xf>
    <xf numFmtId="4" fontId="21" fillId="6" borderId="3" xfId="0" applyNumberFormat="1" applyFont="1" applyFill="1" applyBorder="1" applyAlignment="1" applyProtection="1">
      <alignment horizontal="right" vertical="center" wrapText="1"/>
      <protection locked="0"/>
    </xf>
    <xf numFmtId="4" fontId="21" fillId="6" borderId="3" xfId="142" applyNumberFormat="1" applyFont="1" applyFill="1" applyBorder="1" applyAlignment="1" applyProtection="1">
      <alignment horizontal="right" vertical="center"/>
      <protection locked="0"/>
    </xf>
    <xf numFmtId="181" fontId="21" fillId="6" borderId="3" xfId="142" applyNumberFormat="1" applyFont="1" applyFill="1" applyBorder="1" applyAlignment="1" applyProtection="1">
      <alignment horizontal="right" vertical="center" wrapText="1"/>
      <protection locked="0"/>
    </xf>
    <xf numFmtId="41" fontId="21" fillId="6" borderId="3" xfId="142" applyNumberFormat="1" applyFont="1" applyFill="1" applyBorder="1" applyAlignment="1" applyProtection="1">
      <alignment horizontal="right" vertical="center" wrapText="1"/>
      <protection locked="0"/>
    </xf>
    <xf numFmtId="41" fontId="21" fillId="6" borderId="3" xfId="112" applyFont="1" applyFill="1" applyBorder="1" applyAlignment="1" applyProtection="1">
      <alignment vertical="center"/>
      <protection locked="0"/>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181" fontId="21" fillId="6" borderId="3" xfId="142" applyNumberFormat="1" applyFont="1" applyFill="1" applyBorder="1" applyAlignment="1" applyProtection="1">
      <alignment vertical="center"/>
      <protection locked="0"/>
    </xf>
    <xf numFmtId="10" fontId="21" fillId="6" borderId="3" xfId="99" applyNumberFormat="1" applyFont="1" applyFill="1" applyBorder="1" applyAlignment="1" applyProtection="1">
      <alignment vertical="center"/>
      <protection locked="0"/>
    </xf>
    <xf numFmtId="41" fontId="21" fillId="6" borderId="3" xfId="142" applyFont="1" applyFill="1" applyBorder="1" applyAlignment="1" applyProtection="1">
      <alignment horizontal="right" vertical="center" wrapText="1"/>
      <protection locked="0"/>
    </xf>
    <xf numFmtId="0" fontId="21" fillId="6" borderId="3" xfId="0" applyFont="1" applyFill="1" applyBorder="1" applyAlignment="1">
      <alignment horizontal="right" vertical="center" wrapText="1"/>
    </xf>
    <xf numFmtId="41" fontId="21" fillId="6" borderId="7" xfId="142" applyFont="1" applyFill="1" applyBorder="1" applyAlignment="1" applyProtection="1">
      <alignment horizontal="right" vertical="center" wrapText="1"/>
      <protection locked="0"/>
    </xf>
    <xf numFmtId="182" fontId="21" fillId="6" borderId="3" xfId="142" applyNumberFormat="1" applyFont="1" applyFill="1" applyBorder="1" applyAlignment="1" applyProtection="1">
      <alignment horizontal="right" vertical="center"/>
      <protection locked="0"/>
    </xf>
    <xf numFmtId="4" fontId="21" fillId="6" borderId="3" xfId="0" applyNumberFormat="1" applyFont="1" applyFill="1" applyBorder="1" applyAlignment="1">
      <alignment horizontal="right" vertical="center" wrapText="1"/>
    </xf>
    <xf numFmtId="185" fontId="21" fillId="6" borderId="3" xfId="112" applyNumberFormat="1" applyFont="1" applyFill="1" applyBorder="1" applyAlignment="1" applyProtection="1">
      <alignment horizontal="right" vertical="center" wrapText="1"/>
      <protection locked="0"/>
    </xf>
    <xf numFmtId="41" fontId="21" fillId="6" borderId="3" xfId="142" applyFont="1" applyFill="1" applyBorder="1" applyAlignment="1" applyProtection="1">
      <alignment vertical="center"/>
      <protection locked="0"/>
    </xf>
    <xf numFmtId="4" fontId="21" fillId="6" borderId="0" xfId="0" applyNumberFormat="1" applyFont="1" applyFill="1" applyBorder="1" applyAlignment="1" applyProtection="1">
      <alignment vertical="center" wrapText="1"/>
      <protection locked="0"/>
    </xf>
    <xf numFmtId="0" fontId="21" fillId="6" borderId="0" xfId="0" applyFont="1" applyFill="1" applyBorder="1" applyAlignment="1" applyProtection="1">
      <alignment horizontal="justify" vertical="center" wrapText="1"/>
      <protection locked="0"/>
    </xf>
    <xf numFmtId="9" fontId="21" fillId="6" borderId="0" xfId="99" applyFont="1" applyFill="1" applyBorder="1" applyAlignment="1" applyProtection="1">
      <alignment horizontal="justify" vertical="center" wrapText="1"/>
      <protection locked="0"/>
    </xf>
    <xf numFmtId="4" fontId="21" fillId="6" borderId="3" xfId="142" applyNumberFormat="1" applyFont="1" applyFill="1" applyBorder="1" applyAlignment="1" applyProtection="1">
      <alignment horizontal="right" vertical="center"/>
      <protection locked="0"/>
    </xf>
    <xf numFmtId="0" fontId="24" fillId="6" borderId="3" xfId="0" applyFont="1" applyFill="1" applyBorder="1" applyAlignment="1">
      <alignment horizontal="justify" vertical="center" wrapText="1"/>
    </xf>
    <xf numFmtId="0" fontId="25" fillId="6" borderId="3" xfId="0" applyFont="1" applyFill="1" applyBorder="1" applyAlignment="1">
      <alignment horizontal="justify" vertical="center" wrapText="1"/>
    </xf>
    <xf numFmtId="3" fontId="21" fillId="6" borderId="3" xfId="142" applyNumberFormat="1" applyFont="1" applyFill="1" applyBorder="1" applyAlignment="1" applyProtection="1">
      <alignment horizontal="right" vertical="center"/>
      <protection locked="0"/>
    </xf>
    <xf numFmtId="0" fontId="24" fillId="6" borderId="3" xfId="0" applyFont="1" applyFill="1" applyBorder="1" applyAlignment="1">
      <alignment horizontal="justify" vertical="center" wrapText="1"/>
    </xf>
    <xf numFmtId="0" fontId="25" fillId="6" borderId="3" xfId="0" applyFont="1" applyFill="1" applyBorder="1" applyAlignment="1">
      <alignment horizontal="justify" vertical="center" wrapText="1"/>
    </xf>
    <xf numFmtId="185" fontId="21" fillId="6" borderId="3" xfId="113" applyNumberFormat="1" applyFont="1" applyFill="1" applyBorder="1" applyAlignment="1" applyProtection="1">
      <alignment horizontal="right" vertical="center" wrapText="1"/>
      <protection locked="0"/>
    </xf>
    <xf numFmtId="185" fontId="21" fillId="6" borderId="7" xfId="113" applyNumberFormat="1" applyFont="1" applyFill="1" applyBorder="1" applyAlignment="1" applyProtection="1">
      <alignment horizontal="right" vertical="center" wrapText="1"/>
      <protection locked="0"/>
    </xf>
    <xf numFmtId="185" fontId="21" fillId="0" borderId="3" xfId="144" applyNumberFormat="1" applyFont="1" applyBorder="1" applyAlignment="1">
      <alignment horizontal="right" vertical="center"/>
    </xf>
    <xf numFmtId="181" fontId="21" fillId="6" borderId="3" xfId="112" applyNumberFormat="1" applyFont="1" applyFill="1" applyBorder="1" applyAlignment="1" applyProtection="1">
      <alignment vertical="center" wrapText="1"/>
      <protection locked="0"/>
    </xf>
    <xf numFmtId="183" fontId="21" fillId="6" borderId="3" xfId="142" applyNumberFormat="1" applyFont="1" applyFill="1" applyBorder="1" applyAlignment="1" applyProtection="1">
      <alignment horizontal="right" vertical="center"/>
      <protection locked="0"/>
    </xf>
    <xf numFmtId="46" fontId="21" fillId="6" borderId="3" xfId="0" applyNumberFormat="1" applyFont="1" applyFill="1" applyBorder="1" applyAlignment="1" applyProtection="1">
      <alignment horizontal="justify" vertical="center" wrapText="1"/>
    </xf>
    <xf numFmtId="0" fontId="22" fillId="6" borderId="6" xfId="0" applyFont="1" applyFill="1" applyBorder="1" applyAlignment="1">
      <alignment horizontal="justify" vertical="center" wrapText="1"/>
    </xf>
    <xf numFmtId="0" fontId="22" fillId="6" borderId="3" xfId="0" applyFont="1" applyFill="1" applyBorder="1" applyAlignment="1">
      <alignment horizontal="justify" vertical="center" wrapText="1"/>
    </xf>
    <xf numFmtId="0" fontId="22" fillId="6" borderId="6" xfId="0" applyFont="1" applyFill="1" applyBorder="1" applyAlignment="1">
      <alignment horizontal="justify" vertical="center" wrapText="1"/>
    </xf>
    <xf numFmtId="0" fontId="22" fillId="6" borderId="6" xfId="0" applyFont="1" applyFill="1" applyBorder="1" applyAlignment="1">
      <alignment horizontal="right" vertical="center" wrapText="1"/>
    </xf>
    <xf numFmtId="9" fontId="22" fillId="6" borderId="0" xfId="99" applyFont="1" applyFill="1" applyBorder="1" applyAlignment="1">
      <alignment horizontal="justify" vertical="center" wrapText="1"/>
    </xf>
    <xf numFmtId="0" fontId="21" fillId="6" borderId="0" xfId="0" applyFont="1" applyFill="1" applyBorder="1" applyAlignment="1">
      <alignment horizontal="right" vertical="center"/>
    </xf>
    <xf numFmtId="0" fontId="22" fillId="6" borderId="0" xfId="0" applyFont="1" applyFill="1" applyBorder="1" applyAlignment="1">
      <alignment horizontal="right" vertical="center" wrapText="1"/>
    </xf>
    <xf numFmtId="41" fontId="22" fillId="6" borderId="0" xfId="112" applyFont="1" applyFill="1" applyBorder="1" applyAlignment="1">
      <alignment horizontal="right" vertical="center" wrapText="1"/>
    </xf>
    <xf numFmtId="185" fontId="21" fillId="6" borderId="0" xfId="0" applyNumberFormat="1" applyFont="1" applyFill="1" applyBorder="1" applyAlignment="1">
      <alignment horizontal="right" vertical="center" wrapText="1"/>
    </xf>
    <xf numFmtId="185" fontId="21" fillId="6" borderId="0" xfId="0" applyNumberFormat="1" applyFont="1" applyFill="1" applyAlignment="1">
      <alignment horizontal="right" vertical="center" wrapText="1"/>
    </xf>
    <xf numFmtId="0" fontId="21" fillId="6" borderId="3" xfId="0" quotePrefix="1" applyFont="1" applyFill="1" applyBorder="1" applyAlignment="1">
      <alignment horizontal="justify" vertical="center" wrapText="1"/>
    </xf>
    <xf numFmtId="0" fontId="21" fillId="6" borderId="3" xfId="0" applyFont="1" applyFill="1" applyBorder="1" applyAlignment="1">
      <alignment horizontal="right" vertical="center" wrapText="1"/>
    </xf>
    <xf numFmtId="181" fontId="21" fillId="6" borderId="3" xfId="112" applyNumberFormat="1" applyFont="1" applyFill="1" applyBorder="1" applyAlignment="1">
      <alignment horizontal="right" vertical="center" wrapText="1"/>
    </xf>
    <xf numFmtId="41" fontId="21" fillId="6" borderId="3" xfId="112" applyFont="1" applyFill="1" applyBorder="1" applyAlignment="1">
      <alignment horizontal="right" vertical="center" wrapText="1"/>
    </xf>
    <xf numFmtId="2" fontId="21" fillId="6" borderId="3" xfId="0" applyNumberFormat="1" applyFont="1" applyFill="1" applyBorder="1" applyAlignment="1">
      <alignment horizontal="justify" vertical="center" wrapText="1"/>
    </xf>
    <xf numFmtId="9" fontId="21" fillId="6" borderId="0" xfId="99" applyFont="1" applyFill="1" applyBorder="1" applyAlignment="1">
      <alignment horizontal="justify" vertical="center" wrapText="1"/>
    </xf>
    <xf numFmtId="41" fontId="21" fillId="6" borderId="0" xfId="112" applyFont="1" applyFill="1" applyBorder="1" applyAlignment="1">
      <alignment horizontal="right" vertical="center" wrapText="1"/>
    </xf>
    <xf numFmtId="180" fontId="21" fillId="6" borderId="3" xfId="99" applyNumberFormat="1" applyFont="1" applyFill="1" applyBorder="1" applyAlignment="1">
      <alignment horizontal="right" vertical="center" wrapText="1"/>
    </xf>
    <xf numFmtId="182" fontId="21" fillId="6" borderId="3" xfId="112" applyNumberFormat="1" applyFont="1" applyFill="1" applyBorder="1" applyAlignment="1">
      <alignment horizontal="right" vertical="center" wrapText="1"/>
    </xf>
    <xf numFmtId="187" fontId="21" fillId="6" borderId="3" xfId="112" applyNumberFormat="1" applyFont="1" applyFill="1" applyBorder="1" applyAlignment="1">
      <alignment horizontal="right" vertical="center" wrapText="1"/>
    </xf>
    <xf numFmtId="41" fontId="21" fillId="6" borderId="0" xfId="112" applyFont="1" applyFill="1" applyBorder="1" applyAlignment="1">
      <alignment horizontal="justify" vertical="center" wrapText="1"/>
    </xf>
    <xf numFmtId="181" fontId="21" fillId="6" borderId="0" xfId="0" applyNumberFormat="1" applyFont="1" applyFill="1" applyBorder="1" applyAlignment="1">
      <alignment horizontal="right" vertical="center" wrapText="1"/>
    </xf>
    <xf numFmtId="41" fontId="21" fillId="6" borderId="3" xfId="112" applyFont="1" applyFill="1" applyBorder="1" applyAlignment="1">
      <alignment horizontal="justify" vertical="center" wrapText="1"/>
    </xf>
    <xf numFmtId="41" fontId="21" fillId="6" borderId="0" xfId="0" applyNumberFormat="1" applyFont="1" applyFill="1" applyBorder="1" applyAlignment="1">
      <alignment horizontal="right" vertical="center" wrapText="1"/>
    </xf>
    <xf numFmtId="181" fontId="21" fillId="6" borderId="0" xfId="112" applyNumberFormat="1" applyFont="1" applyFill="1" applyBorder="1" applyAlignment="1">
      <alignment horizontal="justify" vertical="center" wrapText="1"/>
    </xf>
    <xf numFmtId="9" fontId="21" fillId="6" borderId="3" xfId="99" applyFont="1" applyFill="1" applyBorder="1" applyAlignment="1">
      <alignment horizontal="right" vertical="center" wrapText="1"/>
    </xf>
    <xf numFmtId="0" fontId="22" fillId="0" borderId="0" xfId="0" applyFont="1" applyAlignment="1">
      <alignment horizontal="right" vertical="center" wrapText="1"/>
    </xf>
    <xf numFmtId="0" fontId="21" fillId="0" borderId="0" xfId="0" applyFont="1" applyAlignment="1">
      <alignment horizontal="right" vertical="center" wrapText="1"/>
    </xf>
    <xf numFmtId="9" fontId="21" fillId="0" borderId="0" xfId="99" applyFont="1" applyAlignment="1">
      <alignment horizontal="justify" vertical="center" wrapText="1"/>
    </xf>
    <xf numFmtId="0" fontId="21" fillId="6" borderId="0" xfId="0" applyFont="1" applyFill="1" applyAlignment="1">
      <alignment horizontal="right" vertical="center" wrapText="1"/>
    </xf>
    <xf numFmtId="41" fontId="21" fillId="0" borderId="0" xfId="112" applyFont="1" applyAlignment="1">
      <alignment horizontal="right" vertical="center" wrapText="1"/>
    </xf>
    <xf numFmtId="185" fontId="21" fillId="0" borderId="0" xfId="0" applyNumberFormat="1" applyFont="1" applyAlignment="1">
      <alignment horizontal="right" vertical="center" wrapText="1"/>
    </xf>
    <xf numFmtId="185" fontId="21" fillId="0" borderId="0" xfId="112" applyNumberFormat="1" applyFont="1" applyBorder="1" applyAlignment="1">
      <alignment horizontal="right" vertical="center" wrapText="1"/>
    </xf>
    <xf numFmtId="41" fontId="21" fillId="0" borderId="0" xfId="0" applyNumberFormat="1" applyFont="1" applyAlignment="1">
      <alignment horizontal="right" vertical="center" wrapText="1"/>
    </xf>
    <xf numFmtId="43" fontId="21" fillId="0" borderId="0" xfId="0" applyNumberFormat="1" applyFont="1" applyAlignment="1">
      <alignment horizontal="right" vertical="center" wrapText="1"/>
    </xf>
    <xf numFmtId="181" fontId="21" fillId="0" borderId="0" xfId="0" applyNumberFormat="1" applyFont="1" applyAlignment="1">
      <alignment horizontal="right" vertical="center" wrapText="1"/>
    </xf>
    <xf numFmtId="184" fontId="21" fillId="0" borderId="0" xfId="0" applyNumberFormat="1" applyFont="1" applyAlignment="1">
      <alignment horizontal="center" vertical="center" wrapText="1"/>
    </xf>
    <xf numFmtId="2" fontId="21" fillId="0" borderId="0" xfId="0" applyNumberFormat="1" applyFont="1" applyAlignment="1">
      <alignment horizontal="right" vertical="center" wrapText="1"/>
    </xf>
    <xf numFmtId="0" fontId="21" fillId="0" borderId="0" xfId="0" applyFont="1" applyFill="1" applyBorder="1" applyAlignment="1">
      <alignment horizontal="justify" vertical="center" wrapText="1"/>
    </xf>
    <xf numFmtId="0" fontId="21" fillId="6" borderId="13" xfId="0" applyFont="1" applyFill="1" applyBorder="1" applyAlignment="1" applyProtection="1">
      <alignment horizontal="justify" vertical="center" wrapText="1"/>
      <protection locked="0"/>
    </xf>
    <xf numFmtId="0" fontId="21" fillId="6" borderId="6" xfId="0" applyFont="1" applyFill="1" applyBorder="1" applyAlignment="1" applyProtection="1">
      <alignment horizontal="justify" vertical="center" wrapText="1"/>
      <protection locked="0"/>
    </xf>
    <xf numFmtId="0" fontId="24" fillId="6" borderId="13" xfId="0" applyFont="1" applyFill="1" applyBorder="1" applyAlignment="1">
      <alignment horizontal="justify" vertical="center" wrapText="1"/>
    </xf>
    <xf numFmtId="0" fontId="24" fillId="6" borderId="6" xfId="0" applyFont="1" applyFill="1" applyBorder="1" applyAlignment="1">
      <alignment horizontal="justify" vertical="center" wrapText="1"/>
    </xf>
    <xf numFmtId="0" fontId="21" fillId="6" borderId="13" xfId="0" applyFont="1" applyFill="1" applyBorder="1" applyAlignment="1">
      <alignment horizontal="justify" vertical="center" wrapText="1"/>
    </xf>
    <xf numFmtId="0" fontId="21" fillId="6" borderId="6" xfId="0" applyFont="1" applyFill="1" applyBorder="1" applyAlignment="1">
      <alignment horizontal="justify" vertical="center" wrapText="1"/>
    </xf>
    <xf numFmtId="0" fontId="3" fillId="0" borderId="0" xfId="0" applyFont="1"/>
    <xf numFmtId="0" fontId="21" fillId="6" borderId="3" xfId="0" applyFont="1" applyFill="1" applyBorder="1" applyAlignment="1" applyProtection="1">
      <alignment vertical="center" wrapText="1"/>
    </xf>
    <xf numFmtId="0" fontId="22" fillId="0" borderId="0" xfId="0" applyFont="1" applyAlignment="1">
      <alignment horizontal="center" wrapText="1"/>
    </xf>
    <xf numFmtId="0" fontId="22" fillId="5" borderId="3" xfId="0" applyFont="1" applyFill="1" applyBorder="1" applyAlignment="1" applyProtection="1">
      <alignment horizontal="center" wrapText="1"/>
    </xf>
    <xf numFmtId="0" fontId="22" fillId="5" borderId="3" xfId="0" applyFont="1" applyFill="1" applyBorder="1" applyAlignment="1" applyProtection="1">
      <alignment horizontal="center" wrapText="1"/>
      <protection locked="0"/>
    </xf>
    <xf numFmtId="0" fontId="22" fillId="0" borderId="0" xfId="0" applyFont="1" applyBorder="1" applyAlignment="1">
      <alignment horizontal="center" wrapText="1"/>
    </xf>
    <xf numFmtId="0" fontId="22" fillId="5" borderId="3" xfId="0" applyFont="1" applyFill="1" applyBorder="1" applyAlignment="1" applyProtection="1">
      <alignment horizontal="center" vertical="center" wrapText="1"/>
      <protection locked="0"/>
    </xf>
    <xf numFmtId="0" fontId="22" fillId="5" borderId="3" xfId="0" applyFont="1" applyFill="1" applyBorder="1" applyAlignment="1" applyProtection="1">
      <alignment horizontal="center" vertical="center"/>
      <protection locked="0"/>
    </xf>
    <xf numFmtId="185" fontId="21" fillId="0" borderId="3" xfId="112" applyNumberFormat="1" applyFont="1" applyBorder="1" applyAlignment="1">
      <alignment horizontal="right" vertical="center"/>
    </xf>
    <xf numFmtId="185" fontId="21" fillId="0" borderId="3" xfId="112" applyNumberFormat="1" applyFont="1" applyBorder="1" applyAlignment="1">
      <alignment horizontal="right" vertical="center"/>
    </xf>
    <xf numFmtId="185" fontId="21" fillId="0" borderId="3" xfId="0" applyNumberFormat="1" applyFont="1" applyBorder="1" applyAlignment="1">
      <alignment horizontal="right" vertical="center"/>
    </xf>
    <xf numFmtId="185" fontId="21" fillId="0" borderId="3" xfId="0" applyNumberFormat="1" applyFont="1" applyBorder="1" applyAlignment="1">
      <alignment horizontal="right" vertical="center"/>
    </xf>
    <xf numFmtId="185" fontId="21" fillId="0" borderId="3" xfId="144" applyNumberFormat="1" applyFont="1" applyBorder="1" applyAlignment="1">
      <alignment horizontal="right" vertical="center"/>
    </xf>
    <xf numFmtId="186" fontId="22" fillId="5" borderId="10" xfId="113" applyNumberFormat="1" applyFont="1" applyFill="1" applyBorder="1" applyAlignment="1" applyProtection="1">
      <alignment horizontal="right" vertical="center" wrapText="1"/>
      <protection locked="0"/>
    </xf>
    <xf numFmtId="186" fontId="22" fillId="5" borderId="0" xfId="113" applyNumberFormat="1" applyFont="1" applyFill="1" applyBorder="1" applyAlignment="1" applyProtection="1">
      <alignment horizontal="right" vertical="center" wrapText="1"/>
      <protection locked="0"/>
    </xf>
    <xf numFmtId="186" fontId="22" fillId="5" borderId="11" xfId="113" applyNumberFormat="1" applyFont="1" applyFill="1" applyBorder="1" applyAlignment="1" applyProtection="1">
      <alignment horizontal="right" vertical="center" wrapText="1"/>
      <protection locked="0"/>
    </xf>
    <xf numFmtId="186" fontId="22" fillId="5" borderId="12" xfId="113" applyNumberFormat="1" applyFont="1" applyFill="1" applyBorder="1" applyAlignment="1" applyProtection="1">
      <alignment horizontal="right" vertical="center" wrapText="1"/>
      <protection locked="0"/>
    </xf>
    <xf numFmtId="41" fontId="22" fillId="5" borderId="3" xfId="112" applyFont="1" applyFill="1" applyBorder="1" applyAlignment="1" applyProtection="1">
      <alignment horizontal="right" vertical="center" wrapText="1"/>
      <protection locked="0"/>
    </xf>
    <xf numFmtId="185" fontId="22" fillId="5" borderId="3" xfId="113" applyNumberFormat="1" applyFont="1" applyFill="1" applyBorder="1" applyAlignment="1" applyProtection="1">
      <alignment horizontal="right" vertical="center" wrapText="1"/>
      <protection locked="0"/>
    </xf>
  </cellXfs>
  <cellStyles count="145">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xfId="144" builtinId="3"/>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19439</xdr:colOff>
      <xdr:row>1</xdr:row>
      <xdr:rowOff>58870</xdr:rowOff>
    </xdr:from>
    <xdr:to>
      <xdr:col>1</xdr:col>
      <xdr:colOff>738674</xdr:colOff>
      <xdr:row>5</xdr:row>
      <xdr:rowOff>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10" y="224100"/>
          <a:ext cx="719235" cy="602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103"/>
  <sheetViews>
    <sheetView showGridLines="0" tabSelected="1" topLeftCell="B1" zoomScale="90" zoomScaleNormal="90" zoomScaleSheetLayoutView="70" zoomScalePageLayoutView="25" workbookViewId="0">
      <pane ySplit="11" topLeftCell="A12" activePane="bottomLeft" state="frozen"/>
      <selection pane="bottomLeft" activeCell="AL29" sqref="AL29:AL33"/>
    </sheetView>
  </sheetViews>
  <sheetFormatPr baseColWidth="10" defaultColWidth="0" defaultRowHeight="10.5" customHeight="1" zeroHeight="1" x14ac:dyDescent="0.2"/>
  <cols>
    <col min="1" max="1" width="2" style="14" customWidth="1"/>
    <col min="2" max="2" width="11.42578125" style="14" customWidth="1"/>
    <col min="3" max="3" width="15.7109375" style="14" customWidth="1"/>
    <col min="4" max="4" width="47.28515625" style="14" customWidth="1"/>
    <col min="5" max="5" width="27.5703125" style="14" customWidth="1"/>
    <col min="6" max="6" width="25.85546875" style="14" customWidth="1"/>
    <col min="7" max="7" width="23.28515625" style="14" customWidth="1"/>
    <col min="8" max="8" width="11.7109375" style="14" customWidth="1"/>
    <col min="9" max="9" width="10" style="14" customWidth="1"/>
    <col min="10" max="10" width="8.85546875" style="14" customWidth="1"/>
    <col min="11" max="11" width="11.140625" style="166" customWidth="1"/>
    <col min="12" max="12" width="11.140625" style="167" customWidth="1"/>
    <col min="13" max="13" width="8.140625" style="167" customWidth="1"/>
    <col min="14" max="17" width="9.7109375" style="167" customWidth="1"/>
    <col min="18" max="18" width="10.5703125" style="167" customWidth="1"/>
    <col min="19" max="19" width="9.7109375" style="167" customWidth="1"/>
    <col min="20" max="20" width="10.7109375" style="167" customWidth="1"/>
    <col min="21" max="21" width="8.140625" style="167" customWidth="1"/>
    <col min="22" max="22" width="13.85546875" style="14" customWidth="1"/>
    <col min="23" max="23" width="16.140625" style="168" customWidth="1"/>
    <col min="24" max="35" width="4.7109375" style="167" customWidth="1"/>
    <col min="36" max="36" width="11.7109375" style="169" customWidth="1"/>
    <col min="37" max="37" width="13.140625" style="167" customWidth="1"/>
    <col min="38" max="38" width="32.7109375" style="14" customWidth="1"/>
    <col min="39" max="40" width="26.140625" style="14" customWidth="1"/>
    <col min="41" max="42" width="14.140625" style="170" customWidth="1"/>
    <col min="43" max="44" width="14.140625" style="171" customWidth="1"/>
    <col min="45" max="45" width="14.140625" style="172" customWidth="1"/>
    <col min="46" max="46" width="13.28515625" style="172" customWidth="1"/>
    <col min="47" max="47" width="15.140625" style="7" customWidth="1"/>
    <col min="48" max="48" width="14" style="7" hidden="1"/>
    <col min="49" max="49" width="0" style="7" hidden="1"/>
    <col min="50" max="16384" width="9.85546875" style="7" hidden="1"/>
  </cols>
  <sheetData>
    <row r="1" spans="1:48" ht="10.5" customHeight="1" x14ac:dyDescent="0.2">
      <c r="A1" s="7"/>
      <c r="B1" s="7"/>
      <c r="C1" s="7"/>
      <c r="D1" s="7"/>
      <c r="E1" s="7"/>
      <c r="F1" s="7"/>
      <c r="G1" s="7"/>
      <c r="H1" s="7"/>
      <c r="I1" s="7"/>
      <c r="J1" s="7"/>
      <c r="K1" s="8"/>
      <c r="L1" s="9"/>
      <c r="M1" s="9"/>
      <c r="N1" s="9"/>
      <c r="O1" s="9"/>
      <c r="P1" s="9"/>
      <c r="Q1" s="9"/>
      <c r="R1" s="9"/>
      <c r="S1" s="9"/>
      <c r="T1" s="9"/>
      <c r="U1" s="9"/>
      <c r="V1" s="7"/>
      <c r="W1" s="10"/>
      <c r="X1" s="9"/>
      <c r="Y1" s="9"/>
      <c r="Z1" s="9"/>
      <c r="AA1" s="9"/>
      <c r="AB1" s="9"/>
      <c r="AC1" s="9"/>
      <c r="AD1" s="9"/>
      <c r="AE1" s="9"/>
      <c r="AF1" s="9"/>
      <c r="AG1" s="9"/>
      <c r="AH1" s="9"/>
      <c r="AI1" s="9"/>
      <c r="AJ1" s="11"/>
      <c r="AK1" s="9"/>
      <c r="AL1" s="7"/>
      <c r="AM1" s="7"/>
      <c r="AN1" s="7"/>
      <c r="AO1" s="12"/>
      <c r="AP1" s="12"/>
      <c r="AQ1" s="13"/>
      <c r="AR1" s="13"/>
      <c r="AS1" s="13"/>
      <c r="AT1" s="13"/>
    </row>
    <row r="2" spans="1:48" ht="12.75" customHeight="1" x14ac:dyDescent="0.2">
      <c r="B2" s="15"/>
      <c r="C2" s="15"/>
      <c r="D2" s="15"/>
      <c r="E2" s="15"/>
      <c r="F2" s="15"/>
      <c r="G2" s="16" t="s">
        <v>2311</v>
      </c>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3"/>
      <c r="AT2" s="13"/>
      <c r="AV2" s="17" t="s">
        <v>2258</v>
      </c>
    </row>
    <row r="3" spans="1:48" ht="12.75" customHeight="1" x14ac:dyDescent="0.2">
      <c r="B3" s="15"/>
      <c r="C3" s="15"/>
      <c r="D3" s="15"/>
      <c r="E3" s="15"/>
      <c r="F3" s="15"/>
      <c r="G3" s="16" t="s">
        <v>2309</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3"/>
      <c r="AT3" s="13"/>
      <c r="AV3" s="17" t="s">
        <v>2259</v>
      </c>
    </row>
    <row r="4" spans="1:48" ht="12.75" customHeight="1" x14ac:dyDescent="0.2">
      <c r="B4" s="15"/>
      <c r="C4" s="15"/>
      <c r="D4" s="15"/>
      <c r="E4" s="15"/>
      <c r="F4" s="15"/>
      <c r="G4" s="16" t="s">
        <v>2254</v>
      </c>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3"/>
      <c r="AT4" s="13"/>
      <c r="AV4" s="17" t="s">
        <v>2260</v>
      </c>
    </row>
    <row r="5" spans="1:48" ht="12.75" customHeight="1" x14ac:dyDescent="0.2">
      <c r="B5" s="15"/>
      <c r="C5" s="15"/>
      <c r="D5" s="15"/>
      <c r="E5" s="15"/>
      <c r="F5" s="15"/>
      <c r="G5" s="16" t="s">
        <v>2310</v>
      </c>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3"/>
      <c r="AT5" s="13"/>
      <c r="AV5" s="17" t="s">
        <v>2261</v>
      </c>
    </row>
    <row r="6" spans="1:48" ht="17.25" customHeight="1" x14ac:dyDescent="0.2">
      <c r="B6" s="18" t="s">
        <v>2423</v>
      </c>
      <c r="C6" s="18"/>
      <c r="D6" s="18"/>
      <c r="E6" s="18"/>
      <c r="F6" s="18"/>
      <c r="G6" s="19" t="s">
        <v>2424</v>
      </c>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1"/>
      <c r="AS6" s="13"/>
      <c r="AT6" s="13"/>
    </row>
    <row r="7" spans="1:48" ht="17.25" customHeight="1" x14ac:dyDescent="0.2">
      <c r="B7" s="18" t="s">
        <v>2422</v>
      </c>
      <c r="C7" s="18"/>
      <c r="D7" s="18"/>
      <c r="E7" s="18"/>
      <c r="F7" s="18"/>
      <c r="G7" s="19" t="s">
        <v>2434</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1"/>
      <c r="AS7" s="13"/>
      <c r="AT7" s="13"/>
    </row>
    <row r="8" spans="1:48" ht="10.5" customHeight="1" x14ac:dyDescent="0.2">
      <c r="B8" s="18" t="s">
        <v>2268</v>
      </c>
      <c r="C8" s="18"/>
      <c r="D8" s="18"/>
      <c r="E8" s="18"/>
      <c r="F8" s="18"/>
      <c r="G8" s="22" t="s">
        <v>2495</v>
      </c>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13"/>
      <c r="AT8" s="13"/>
    </row>
    <row r="9" spans="1:48" ht="26.25" customHeight="1" x14ac:dyDescent="0.2">
      <c r="B9" s="23" t="s">
        <v>2489</v>
      </c>
      <c r="C9" s="23"/>
      <c r="D9" s="23"/>
      <c r="E9" s="23"/>
      <c r="F9" s="24" t="s">
        <v>2488</v>
      </c>
      <c r="G9" s="24"/>
      <c r="H9" s="24"/>
      <c r="I9" s="24"/>
      <c r="J9" s="25" t="s">
        <v>685</v>
      </c>
      <c r="K9" s="26"/>
      <c r="L9" s="25" t="s">
        <v>685</v>
      </c>
      <c r="M9" s="26"/>
      <c r="N9" s="25" t="s">
        <v>685</v>
      </c>
      <c r="O9" s="26"/>
      <c r="P9" s="25" t="s">
        <v>685</v>
      </c>
      <c r="Q9" s="26"/>
      <c r="R9" s="25" t="s">
        <v>685</v>
      </c>
      <c r="S9" s="26"/>
      <c r="T9" s="25" t="s">
        <v>685</v>
      </c>
      <c r="U9" s="26"/>
      <c r="V9" s="27" t="s">
        <v>2240</v>
      </c>
      <c r="W9" s="28" t="s">
        <v>2255</v>
      </c>
      <c r="X9" s="29" t="s">
        <v>2492</v>
      </c>
      <c r="Y9" s="30"/>
      <c r="Z9" s="30"/>
      <c r="AA9" s="30"/>
      <c r="AB9" s="30"/>
      <c r="AC9" s="30"/>
      <c r="AD9" s="30"/>
      <c r="AE9" s="30"/>
      <c r="AF9" s="30"/>
      <c r="AG9" s="30"/>
      <c r="AH9" s="30"/>
      <c r="AI9" s="30"/>
      <c r="AJ9" s="31"/>
      <c r="AK9" s="29" t="s">
        <v>2490</v>
      </c>
      <c r="AL9" s="30"/>
      <c r="AM9" s="30"/>
      <c r="AN9" s="30"/>
      <c r="AO9" s="198" t="s">
        <v>2491</v>
      </c>
      <c r="AP9" s="199"/>
      <c r="AQ9" s="199"/>
      <c r="AR9" s="199"/>
      <c r="AS9" s="199"/>
      <c r="AT9" s="199"/>
    </row>
    <row r="10" spans="1:48" ht="18" customHeight="1" x14ac:dyDescent="0.2">
      <c r="B10" s="23"/>
      <c r="C10" s="23"/>
      <c r="D10" s="23"/>
      <c r="E10" s="23"/>
      <c r="F10" s="24"/>
      <c r="G10" s="24"/>
      <c r="H10" s="24"/>
      <c r="I10" s="24"/>
      <c r="J10" s="25" t="s">
        <v>2315</v>
      </c>
      <c r="K10" s="26"/>
      <c r="L10" s="32">
        <v>2020</v>
      </c>
      <c r="M10" s="32"/>
      <c r="N10" s="32">
        <v>2021</v>
      </c>
      <c r="O10" s="32"/>
      <c r="P10" s="32">
        <v>2022</v>
      </c>
      <c r="Q10" s="32"/>
      <c r="R10" s="32">
        <v>2023</v>
      </c>
      <c r="S10" s="32"/>
      <c r="T10" s="32">
        <v>2024</v>
      </c>
      <c r="U10" s="32"/>
      <c r="V10" s="33"/>
      <c r="W10" s="34"/>
      <c r="X10" s="35"/>
      <c r="Y10" s="36"/>
      <c r="Z10" s="36"/>
      <c r="AA10" s="36"/>
      <c r="AB10" s="36"/>
      <c r="AC10" s="36"/>
      <c r="AD10" s="36"/>
      <c r="AE10" s="36"/>
      <c r="AF10" s="36"/>
      <c r="AG10" s="36"/>
      <c r="AH10" s="36"/>
      <c r="AI10" s="36"/>
      <c r="AJ10" s="37"/>
      <c r="AK10" s="35"/>
      <c r="AL10" s="36"/>
      <c r="AM10" s="36"/>
      <c r="AN10" s="36"/>
      <c r="AO10" s="200"/>
      <c r="AP10" s="201"/>
      <c r="AQ10" s="201"/>
      <c r="AR10" s="201"/>
      <c r="AS10" s="201"/>
      <c r="AT10" s="201"/>
    </row>
    <row r="11" spans="1:48" s="190" customFormat="1" ht="30.75" customHeight="1" x14ac:dyDescent="0.2">
      <c r="A11" s="187"/>
      <c r="B11" s="38" t="s">
        <v>2262</v>
      </c>
      <c r="C11" s="188" t="s">
        <v>2274</v>
      </c>
      <c r="D11" s="188" t="s">
        <v>2391</v>
      </c>
      <c r="E11" s="188" t="s">
        <v>2263</v>
      </c>
      <c r="F11" s="188" t="s">
        <v>2314</v>
      </c>
      <c r="G11" s="188" t="s">
        <v>2313</v>
      </c>
      <c r="H11" s="188" t="s">
        <v>2238</v>
      </c>
      <c r="I11" s="188" t="s">
        <v>2239</v>
      </c>
      <c r="J11" s="189" t="s">
        <v>2257</v>
      </c>
      <c r="K11" s="189" t="s">
        <v>2256</v>
      </c>
      <c r="L11" s="189" t="s">
        <v>692</v>
      </c>
      <c r="M11" s="189" t="s">
        <v>2234</v>
      </c>
      <c r="N11" s="189" t="s">
        <v>692</v>
      </c>
      <c r="O11" s="189" t="s">
        <v>2234</v>
      </c>
      <c r="P11" s="189" t="s">
        <v>692</v>
      </c>
      <c r="Q11" s="189"/>
      <c r="R11" s="189" t="s">
        <v>692</v>
      </c>
      <c r="S11" s="189" t="s">
        <v>2234</v>
      </c>
      <c r="T11" s="189" t="s">
        <v>692</v>
      </c>
      <c r="U11" s="189" t="s">
        <v>2234</v>
      </c>
      <c r="V11" s="39"/>
      <c r="W11" s="40"/>
      <c r="X11" s="192" t="s">
        <v>2241</v>
      </c>
      <c r="Y11" s="192" t="s">
        <v>2242</v>
      </c>
      <c r="Z11" s="192" t="s">
        <v>2243</v>
      </c>
      <c r="AA11" s="192" t="s">
        <v>2244</v>
      </c>
      <c r="AB11" s="192" t="s">
        <v>2245</v>
      </c>
      <c r="AC11" s="192" t="s">
        <v>2246</v>
      </c>
      <c r="AD11" s="192" t="s">
        <v>2247</v>
      </c>
      <c r="AE11" s="192" t="s">
        <v>2248</v>
      </c>
      <c r="AF11" s="192" t="s">
        <v>2249</v>
      </c>
      <c r="AG11" s="192" t="s">
        <v>2250</v>
      </c>
      <c r="AH11" s="192" t="s">
        <v>2251</v>
      </c>
      <c r="AI11" s="192" t="s">
        <v>2252</v>
      </c>
      <c r="AJ11" s="191" t="s">
        <v>2266</v>
      </c>
      <c r="AK11" s="189" t="s">
        <v>2253</v>
      </c>
      <c r="AL11" s="189" t="s">
        <v>2264</v>
      </c>
      <c r="AM11" s="189" t="s">
        <v>2267</v>
      </c>
      <c r="AN11" s="189" t="s">
        <v>2265</v>
      </c>
      <c r="AO11" s="202" t="s">
        <v>2589</v>
      </c>
      <c r="AP11" s="202" t="s">
        <v>2590</v>
      </c>
      <c r="AQ11" s="203" t="s">
        <v>2483</v>
      </c>
      <c r="AR11" s="203" t="s">
        <v>2591</v>
      </c>
      <c r="AS11" s="41" t="s">
        <v>2592</v>
      </c>
      <c r="AT11" s="41" t="s">
        <v>2484</v>
      </c>
    </row>
    <row r="12" spans="1:48" s="60" customFormat="1" ht="31.5" customHeight="1" x14ac:dyDescent="0.2">
      <c r="A12" s="42"/>
      <c r="B12" s="43"/>
      <c r="C12" s="44" t="s">
        <v>2272</v>
      </c>
      <c r="D12" s="44" t="s">
        <v>2425</v>
      </c>
      <c r="E12" s="44" t="s">
        <v>2392</v>
      </c>
      <c r="F12" s="44" t="s">
        <v>2356</v>
      </c>
      <c r="G12" s="44" t="s">
        <v>2355</v>
      </c>
      <c r="H12" s="44" t="s">
        <v>2357</v>
      </c>
      <c r="I12" s="44" t="s">
        <v>2269</v>
      </c>
      <c r="J12" s="45" t="s">
        <v>2261</v>
      </c>
      <c r="K12" s="46">
        <f>+L12+N12+P12+R12+T12</f>
        <v>146</v>
      </c>
      <c r="L12" s="47">
        <v>0</v>
      </c>
      <c r="M12" s="47">
        <v>0</v>
      </c>
      <c r="N12" s="48">
        <v>14.93</v>
      </c>
      <c r="O12" s="48">
        <v>14.93</v>
      </c>
      <c r="P12" s="48">
        <v>98</v>
      </c>
      <c r="Q12" s="48">
        <v>53.08</v>
      </c>
      <c r="R12" s="48">
        <v>18.2</v>
      </c>
      <c r="S12" s="49">
        <v>0</v>
      </c>
      <c r="T12" s="48">
        <v>14.87</v>
      </c>
      <c r="U12" s="49">
        <v>0</v>
      </c>
      <c r="V12" s="50">
        <f>+M12+O12+Q12</f>
        <v>68.009999999999991</v>
      </c>
      <c r="W12" s="51">
        <f>V12/146</f>
        <v>0.46582191780821913</v>
      </c>
      <c r="X12" s="52">
        <v>3.93</v>
      </c>
      <c r="Y12" s="52"/>
      <c r="Z12" s="52"/>
      <c r="AA12" s="53">
        <f>17.39-X12</f>
        <v>13.46</v>
      </c>
      <c r="AB12" s="53"/>
      <c r="AC12" s="53"/>
      <c r="AD12" s="53">
        <v>22.46</v>
      </c>
      <c r="AE12" s="53"/>
      <c r="AF12" s="53"/>
      <c r="AG12" s="53">
        <v>53.08</v>
      </c>
      <c r="AH12" s="53"/>
      <c r="AI12" s="53"/>
      <c r="AJ12" s="54">
        <f>+MAX(X12,AA12,AD12,AG12)</f>
        <v>53.08</v>
      </c>
      <c r="AK12" s="55">
        <f>+AJ12/P12</f>
        <v>0.54163265306122443</v>
      </c>
      <c r="AL12" s="56" t="s">
        <v>2530</v>
      </c>
      <c r="AM12" s="56" t="s">
        <v>2529</v>
      </c>
      <c r="AN12" s="56" t="s">
        <v>2531</v>
      </c>
      <c r="AO12" s="57">
        <v>576083</v>
      </c>
      <c r="AP12" s="57">
        <v>175640</v>
      </c>
      <c r="AQ12" s="58">
        <v>1003531224934</v>
      </c>
      <c r="AR12" s="59">
        <v>733856678773</v>
      </c>
      <c r="AS12" s="193">
        <v>777980439219</v>
      </c>
      <c r="AT12" s="193">
        <v>576805028577</v>
      </c>
    </row>
    <row r="13" spans="1:48" s="60" customFormat="1" ht="31.5" customHeight="1" x14ac:dyDescent="0.2">
      <c r="A13" s="42"/>
      <c r="B13" s="43"/>
      <c r="C13" s="44" t="s">
        <v>2272</v>
      </c>
      <c r="D13" s="44" t="s">
        <v>2425</v>
      </c>
      <c r="E13" s="44" t="s">
        <v>2392</v>
      </c>
      <c r="F13" s="44" t="s">
        <v>2474</v>
      </c>
      <c r="G13" s="44" t="s">
        <v>2355</v>
      </c>
      <c r="H13" s="44" t="s">
        <v>2473</v>
      </c>
      <c r="I13" s="44" t="s">
        <v>2269</v>
      </c>
      <c r="J13" s="45" t="s">
        <v>2261</v>
      </c>
      <c r="K13" s="46">
        <f>+L13+N13+P13+R13+T13</f>
        <v>100</v>
      </c>
      <c r="L13" s="47">
        <v>0</v>
      </c>
      <c r="M13" s="47">
        <v>0</v>
      </c>
      <c r="N13" s="48">
        <v>0</v>
      </c>
      <c r="O13" s="48">
        <v>0</v>
      </c>
      <c r="P13" s="48">
        <v>85</v>
      </c>
      <c r="Q13" s="48">
        <v>50</v>
      </c>
      <c r="R13" s="48">
        <v>15</v>
      </c>
      <c r="S13" s="49">
        <v>0</v>
      </c>
      <c r="T13" s="48">
        <v>0</v>
      </c>
      <c r="U13" s="49">
        <v>0</v>
      </c>
      <c r="V13" s="50">
        <f>+M13+O13+Q13</f>
        <v>50</v>
      </c>
      <c r="W13" s="51">
        <f>+V13/K13</f>
        <v>0.5</v>
      </c>
      <c r="X13" s="61">
        <v>0</v>
      </c>
      <c r="Y13" s="61"/>
      <c r="Z13" s="61"/>
      <c r="AA13" s="61">
        <v>50</v>
      </c>
      <c r="AB13" s="61"/>
      <c r="AC13" s="61"/>
      <c r="AD13" s="61">
        <v>50</v>
      </c>
      <c r="AE13" s="61"/>
      <c r="AF13" s="61"/>
      <c r="AG13" s="61">
        <v>50</v>
      </c>
      <c r="AH13" s="61"/>
      <c r="AI13" s="61"/>
      <c r="AJ13" s="54">
        <f>+MAX(X13,AA13,AD13,AG13)</f>
        <v>50</v>
      </c>
      <c r="AK13" s="55">
        <f>+AJ13/P13</f>
        <v>0.58823529411764708</v>
      </c>
      <c r="AL13" s="56"/>
      <c r="AM13" s="56"/>
      <c r="AN13" s="56"/>
      <c r="AO13" s="57"/>
      <c r="AP13" s="57"/>
      <c r="AQ13" s="58"/>
      <c r="AR13" s="59"/>
      <c r="AS13" s="193"/>
      <c r="AT13" s="193">
        <v>576805028577</v>
      </c>
    </row>
    <row r="14" spans="1:48" s="60" customFormat="1" ht="31.5" customHeight="1" x14ac:dyDescent="0.2">
      <c r="A14" s="42"/>
      <c r="B14" s="43"/>
      <c r="C14" s="186" t="s">
        <v>2272</v>
      </c>
      <c r="D14" s="186" t="s">
        <v>2425</v>
      </c>
      <c r="E14" s="44" t="s">
        <v>2392</v>
      </c>
      <c r="F14" s="186" t="s">
        <v>2340</v>
      </c>
      <c r="G14" s="44" t="s">
        <v>2341</v>
      </c>
      <c r="H14" s="62" t="s">
        <v>2343</v>
      </c>
      <c r="I14" s="44" t="s">
        <v>2235</v>
      </c>
      <c r="J14" s="45" t="s">
        <v>2261</v>
      </c>
      <c r="K14" s="63">
        <f>L14+N14+P14+R14+T14</f>
        <v>56</v>
      </c>
      <c r="L14" s="64">
        <v>25.16</v>
      </c>
      <c r="M14" s="47">
        <v>25.16</v>
      </c>
      <c r="N14" s="64">
        <v>16.420000000000002</v>
      </c>
      <c r="O14" s="64">
        <v>16.420000000000002</v>
      </c>
      <c r="P14" s="64">
        <v>7</v>
      </c>
      <c r="Q14" s="64">
        <v>7</v>
      </c>
      <c r="R14" s="64">
        <v>5.42</v>
      </c>
      <c r="S14" s="49"/>
      <c r="T14" s="64">
        <v>2</v>
      </c>
      <c r="U14" s="49">
        <v>0</v>
      </c>
      <c r="V14" s="50">
        <f>M14+O14+S14+Q14+U14</f>
        <v>48.58</v>
      </c>
      <c r="W14" s="51">
        <f>(V14/K14)</f>
        <v>0.86749999999999994</v>
      </c>
      <c r="X14" s="52">
        <v>2.1</v>
      </c>
      <c r="Y14" s="52"/>
      <c r="Z14" s="52"/>
      <c r="AA14" s="53">
        <v>0.09</v>
      </c>
      <c r="AB14" s="53"/>
      <c r="AC14" s="53"/>
      <c r="AD14" s="61">
        <v>0</v>
      </c>
      <c r="AE14" s="61"/>
      <c r="AF14" s="61"/>
      <c r="AG14" s="53">
        <v>4.8099999999999996</v>
      </c>
      <c r="AH14" s="53"/>
      <c r="AI14" s="53"/>
      <c r="AJ14" s="54">
        <f>+X14+AA14+AD14+AG14</f>
        <v>7</v>
      </c>
      <c r="AK14" s="55">
        <f>AJ14/P14</f>
        <v>1</v>
      </c>
      <c r="AL14" s="65" t="s">
        <v>2533</v>
      </c>
      <c r="AM14" s="56" t="s">
        <v>2532</v>
      </c>
      <c r="AN14" s="56" t="s">
        <v>2534</v>
      </c>
      <c r="AO14" s="66">
        <v>364</v>
      </c>
      <c r="AP14" s="66">
        <v>118</v>
      </c>
      <c r="AQ14" s="67">
        <v>207411000</v>
      </c>
      <c r="AR14" s="68">
        <v>207411000</v>
      </c>
      <c r="AS14" s="194">
        <v>685025690</v>
      </c>
      <c r="AT14" s="194">
        <v>683026442</v>
      </c>
    </row>
    <row r="15" spans="1:48" s="60" customFormat="1" ht="31.5" customHeight="1" x14ac:dyDescent="0.2">
      <c r="A15" s="42"/>
      <c r="B15" s="43"/>
      <c r="C15" s="186" t="s">
        <v>2272</v>
      </c>
      <c r="D15" s="186" t="s">
        <v>2425</v>
      </c>
      <c r="E15" s="44" t="s">
        <v>2392</v>
      </c>
      <c r="F15" s="186" t="s">
        <v>2580</v>
      </c>
      <c r="G15" s="44" t="s">
        <v>2341</v>
      </c>
      <c r="H15" s="62"/>
      <c r="I15" s="44" t="s">
        <v>2269</v>
      </c>
      <c r="J15" s="45" t="s">
        <v>2261</v>
      </c>
      <c r="K15" s="63">
        <f>L15+N15+P15+R15+T15</f>
        <v>223.99999999999997</v>
      </c>
      <c r="L15" s="64">
        <v>0</v>
      </c>
      <c r="M15" s="47">
        <v>0</v>
      </c>
      <c r="N15" s="64">
        <v>4.97</v>
      </c>
      <c r="O15" s="64">
        <v>4.97</v>
      </c>
      <c r="P15" s="64">
        <v>36.69</v>
      </c>
      <c r="Q15" s="64">
        <v>14.02</v>
      </c>
      <c r="R15" s="64">
        <v>127.55</v>
      </c>
      <c r="S15" s="49">
        <v>0</v>
      </c>
      <c r="T15" s="64">
        <v>54.79</v>
      </c>
      <c r="U15" s="49">
        <v>0</v>
      </c>
      <c r="V15" s="50">
        <f>M15+O15+S15+Q15+U15</f>
        <v>18.989999999999998</v>
      </c>
      <c r="W15" s="51">
        <f>+V15/K15</f>
        <v>8.4776785714285721E-2</v>
      </c>
      <c r="X15" s="52">
        <v>1.06</v>
      </c>
      <c r="Y15" s="52"/>
      <c r="Z15" s="52"/>
      <c r="AA15" s="53">
        <f>7.97-X15</f>
        <v>6.91</v>
      </c>
      <c r="AB15" s="53"/>
      <c r="AC15" s="53"/>
      <c r="AD15" s="61">
        <v>2.71</v>
      </c>
      <c r="AE15" s="61"/>
      <c r="AF15" s="61"/>
      <c r="AG15" s="53">
        <v>3.34</v>
      </c>
      <c r="AH15" s="53"/>
      <c r="AI15" s="53"/>
      <c r="AJ15" s="54">
        <f>+X15+AA15+AD15+AG15</f>
        <v>14.02</v>
      </c>
      <c r="AK15" s="55">
        <f>AJ15/P15</f>
        <v>0.38212046879258654</v>
      </c>
      <c r="AL15" s="65"/>
      <c r="AM15" s="56"/>
      <c r="AN15" s="56"/>
      <c r="AO15" s="66">
        <v>25610</v>
      </c>
      <c r="AP15" s="66">
        <v>25501</v>
      </c>
      <c r="AQ15" s="69">
        <v>6999605616</v>
      </c>
      <c r="AR15" s="70">
        <v>5111893906</v>
      </c>
      <c r="AS15" s="194">
        <v>30176232934</v>
      </c>
      <c r="AT15" s="194">
        <v>14653861640</v>
      </c>
    </row>
    <row r="16" spans="1:48" s="60" customFormat="1" ht="31.5" customHeight="1" x14ac:dyDescent="0.2">
      <c r="A16" s="42"/>
      <c r="B16" s="71"/>
      <c r="C16" s="186" t="s">
        <v>2272</v>
      </c>
      <c r="D16" s="186" t="s">
        <v>2425</v>
      </c>
      <c r="E16" s="44" t="s">
        <v>2392</v>
      </c>
      <c r="F16" s="44" t="s">
        <v>2445</v>
      </c>
      <c r="G16" s="44" t="s">
        <v>2359</v>
      </c>
      <c r="H16" s="44" t="s">
        <v>2444</v>
      </c>
      <c r="I16" s="44" t="s">
        <v>2269</v>
      </c>
      <c r="J16" s="45" t="s">
        <v>2261</v>
      </c>
      <c r="K16" s="72">
        <f t="shared" ref="K16:K17" si="0">+L16+N16+P16+R16+T16</f>
        <v>12</v>
      </c>
      <c r="L16" s="49">
        <v>0</v>
      </c>
      <c r="M16" s="47">
        <v>0</v>
      </c>
      <c r="N16" s="49">
        <v>0</v>
      </c>
      <c r="O16" s="49">
        <v>0</v>
      </c>
      <c r="P16" s="49">
        <v>5</v>
      </c>
      <c r="Q16" s="64">
        <v>0</v>
      </c>
      <c r="R16" s="64">
        <v>4</v>
      </c>
      <c r="S16" s="49">
        <v>0</v>
      </c>
      <c r="T16" s="64">
        <v>3</v>
      </c>
      <c r="U16" s="49">
        <v>0</v>
      </c>
      <c r="V16" s="73">
        <v>0</v>
      </c>
      <c r="W16" s="51">
        <f>IFERROR(O16/V16,0)</f>
        <v>0</v>
      </c>
      <c r="X16" s="61">
        <v>0</v>
      </c>
      <c r="Y16" s="61"/>
      <c r="Z16" s="61"/>
      <c r="AA16" s="61">
        <v>0</v>
      </c>
      <c r="AB16" s="61"/>
      <c r="AC16" s="61"/>
      <c r="AD16" s="61">
        <v>0</v>
      </c>
      <c r="AE16" s="61"/>
      <c r="AF16" s="61"/>
      <c r="AG16" s="61">
        <v>0</v>
      </c>
      <c r="AH16" s="61"/>
      <c r="AI16" s="61"/>
      <c r="AJ16" s="74">
        <f>AD16+AG16+AA16+X16</f>
        <v>0</v>
      </c>
      <c r="AK16" s="75">
        <f>IFERROR(X16/N16,0)</f>
        <v>0</v>
      </c>
      <c r="AL16" s="65" t="s">
        <v>2535</v>
      </c>
      <c r="AM16" s="56" t="s">
        <v>2529</v>
      </c>
      <c r="AN16" s="56" t="s">
        <v>2536</v>
      </c>
      <c r="AO16" s="76">
        <v>45588</v>
      </c>
      <c r="AP16" s="76">
        <v>35885</v>
      </c>
      <c r="AQ16" s="77">
        <v>132041888832</v>
      </c>
      <c r="AR16" s="78">
        <v>68914884732</v>
      </c>
      <c r="AS16" s="193">
        <v>291297738352</v>
      </c>
      <c r="AT16" s="193">
        <v>221096030418</v>
      </c>
    </row>
    <row r="17" spans="1:46" s="60" customFormat="1" ht="31.5" customHeight="1" x14ac:dyDescent="0.2">
      <c r="A17" s="42"/>
      <c r="B17" s="71"/>
      <c r="C17" s="186" t="s">
        <v>2272</v>
      </c>
      <c r="D17" s="186" t="s">
        <v>2425</v>
      </c>
      <c r="E17" s="44" t="s">
        <v>2392</v>
      </c>
      <c r="F17" s="44" t="s">
        <v>2358</v>
      </c>
      <c r="G17" s="44" t="s">
        <v>2359</v>
      </c>
      <c r="H17" s="44" t="s">
        <v>2348</v>
      </c>
      <c r="I17" s="44" t="s">
        <v>2269</v>
      </c>
      <c r="J17" s="45" t="s">
        <v>2261</v>
      </c>
      <c r="K17" s="72">
        <f t="shared" si="0"/>
        <v>17</v>
      </c>
      <c r="L17" s="49">
        <v>0</v>
      </c>
      <c r="M17" s="47">
        <f>AD17+AG17</f>
        <v>0</v>
      </c>
      <c r="N17" s="49">
        <v>0</v>
      </c>
      <c r="O17" s="49">
        <v>0</v>
      </c>
      <c r="P17" s="49">
        <v>6</v>
      </c>
      <c r="Q17" s="64">
        <v>0</v>
      </c>
      <c r="R17" s="64">
        <v>10</v>
      </c>
      <c r="S17" s="49">
        <v>0</v>
      </c>
      <c r="T17" s="64">
        <v>1</v>
      </c>
      <c r="U17" s="49">
        <v>0</v>
      </c>
      <c r="V17" s="73">
        <v>0</v>
      </c>
      <c r="W17" s="51">
        <f>IFERROR(O17/V17,0)</f>
        <v>0</v>
      </c>
      <c r="X17" s="61">
        <v>0</v>
      </c>
      <c r="Y17" s="61"/>
      <c r="Z17" s="61"/>
      <c r="AA17" s="61">
        <v>0</v>
      </c>
      <c r="AB17" s="61"/>
      <c r="AC17" s="61"/>
      <c r="AD17" s="61">
        <v>0</v>
      </c>
      <c r="AE17" s="61"/>
      <c r="AF17" s="61"/>
      <c r="AG17" s="61">
        <v>0</v>
      </c>
      <c r="AH17" s="61"/>
      <c r="AI17" s="61"/>
      <c r="AJ17" s="74">
        <f>AD17+AG17+AA17+X17</f>
        <v>0</v>
      </c>
      <c r="AK17" s="75">
        <f>IFERROR(X17/N17,0)</f>
        <v>0</v>
      </c>
      <c r="AL17" s="65"/>
      <c r="AM17" s="56"/>
      <c r="AN17" s="56"/>
      <c r="AO17" s="76"/>
      <c r="AP17" s="76"/>
      <c r="AQ17" s="77"/>
      <c r="AR17" s="78"/>
      <c r="AS17" s="193"/>
      <c r="AT17" s="193"/>
    </row>
    <row r="18" spans="1:46" s="60" customFormat="1" ht="31.5" customHeight="1" x14ac:dyDescent="0.2">
      <c r="A18" s="42"/>
      <c r="B18" s="43"/>
      <c r="C18" s="44" t="s">
        <v>2272</v>
      </c>
      <c r="D18" s="44" t="s">
        <v>2425</v>
      </c>
      <c r="E18" s="44" t="s">
        <v>2392</v>
      </c>
      <c r="F18" s="79" t="s">
        <v>2380</v>
      </c>
      <c r="G18" s="44" t="s">
        <v>2379</v>
      </c>
      <c r="H18" s="44" t="s">
        <v>2381</v>
      </c>
      <c r="I18" s="44" t="s">
        <v>2269</v>
      </c>
      <c r="J18" s="45" t="s">
        <v>2261</v>
      </c>
      <c r="K18" s="72">
        <f>+M18+O18+P18+R18+T18</f>
        <v>360</v>
      </c>
      <c r="L18" s="49">
        <v>31.28</v>
      </c>
      <c r="M18" s="47">
        <v>14.68</v>
      </c>
      <c r="N18" s="49">
        <v>86.89</v>
      </c>
      <c r="O18" s="49">
        <v>13.52</v>
      </c>
      <c r="P18" s="49">
        <v>291.19</v>
      </c>
      <c r="Q18" s="49">
        <v>236.77</v>
      </c>
      <c r="R18" s="49">
        <v>40.61</v>
      </c>
      <c r="S18" s="49">
        <v>0</v>
      </c>
      <c r="T18" s="49">
        <v>0</v>
      </c>
      <c r="U18" s="49">
        <v>0</v>
      </c>
      <c r="V18" s="80">
        <f>M18+O18+S18+Q18+U18</f>
        <v>264.97000000000003</v>
      </c>
      <c r="W18" s="51">
        <f>+V18/K18</f>
        <v>0.73602777777777784</v>
      </c>
      <c r="X18" s="52">
        <v>0.68</v>
      </c>
      <c r="Y18" s="52"/>
      <c r="Z18" s="52"/>
      <c r="AA18" s="81">
        <f>18.7</f>
        <v>18.7</v>
      </c>
      <c r="AB18" s="81"/>
      <c r="AC18" s="81"/>
      <c r="AD18" s="81">
        <f>141.33</f>
        <v>141.33000000000001</v>
      </c>
      <c r="AE18" s="81"/>
      <c r="AF18" s="81"/>
      <c r="AG18" s="81">
        <v>236.77</v>
      </c>
      <c r="AH18" s="81"/>
      <c r="AI18" s="81"/>
      <c r="AJ18" s="54">
        <f>AG18</f>
        <v>236.77</v>
      </c>
      <c r="AK18" s="55">
        <f>AJ18/P18</f>
        <v>0.81311171400116766</v>
      </c>
      <c r="AL18" s="79" t="s">
        <v>2555</v>
      </c>
      <c r="AM18" s="45" t="s">
        <v>2485</v>
      </c>
      <c r="AN18" s="79" t="s">
        <v>2556</v>
      </c>
      <c r="AO18" s="82">
        <v>29975</v>
      </c>
      <c r="AP18" s="82">
        <v>29973</v>
      </c>
      <c r="AQ18" s="67">
        <v>50792480509</v>
      </c>
      <c r="AR18" s="68">
        <v>50446906656</v>
      </c>
      <c r="AS18" s="194">
        <v>51432284668</v>
      </c>
      <c r="AT18" s="194">
        <v>51432284668</v>
      </c>
    </row>
    <row r="19" spans="1:46" s="60" customFormat="1" ht="31.5" customHeight="1" x14ac:dyDescent="0.2">
      <c r="A19" s="42"/>
      <c r="B19" s="43"/>
      <c r="C19" s="44" t="s">
        <v>2271</v>
      </c>
      <c r="D19" s="44" t="s">
        <v>2425</v>
      </c>
      <c r="E19" s="44" t="s">
        <v>2392</v>
      </c>
      <c r="F19" s="44" t="s">
        <v>2360</v>
      </c>
      <c r="G19" s="44" t="s">
        <v>2361</v>
      </c>
      <c r="H19" s="44" t="s">
        <v>2362</v>
      </c>
      <c r="I19" s="44" t="s">
        <v>2235</v>
      </c>
      <c r="J19" s="45" t="s">
        <v>2258</v>
      </c>
      <c r="K19" s="63">
        <v>1</v>
      </c>
      <c r="L19" s="64">
        <v>0</v>
      </c>
      <c r="M19" s="47">
        <v>0</v>
      </c>
      <c r="N19" s="64">
        <v>1</v>
      </c>
      <c r="O19" s="64">
        <v>1</v>
      </c>
      <c r="P19" s="64">
        <v>1</v>
      </c>
      <c r="Q19" s="64">
        <v>1</v>
      </c>
      <c r="R19" s="64">
        <v>1</v>
      </c>
      <c r="S19" s="64">
        <v>0</v>
      </c>
      <c r="T19" s="64">
        <v>1</v>
      </c>
      <c r="U19" s="49">
        <v>0</v>
      </c>
      <c r="V19" s="83">
        <f>+AVERAGE(O19,Q19,S19,U19)</f>
        <v>0.5</v>
      </c>
      <c r="W19" s="51">
        <f>+AVERAGE(O19,Q19,0,0)</f>
        <v>0.5</v>
      </c>
      <c r="X19" s="52">
        <v>0.49</v>
      </c>
      <c r="Y19" s="52"/>
      <c r="Z19" s="52"/>
      <c r="AA19" s="53">
        <f>0.58-X19</f>
        <v>8.9999999999999969E-2</v>
      </c>
      <c r="AB19" s="53"/>
      <c r="AC19" s="53"/>
      <c r="AD19" s="53">
        <v>0.82</v>
      </c>
      <c r="AE19" s="53"/>
      <c r="AF19" s="53"/>
      <c r="AG19" s="61">
        <v>1</v>
      </c>
      <c r="AH19" s="61"/>
      <c r="AI19" s="61"/>
      <c r="AJ19" s="54">
        <f>MAX(X19,AA19,AD19,AG19)</f>
        <v>1</v>
      </c>
      <c r="AK19" s="75">
        <f>AJ19/P19</f>
        <v>1</v>
      </c>
      <c r="AL19" s="79" t="s">
        <v>2540</v>
      </c>
      <c r="AM19" s="79" t="s">
        <v>2486</v>
      </c>
      <c r="AN19" s="79" t="s">
        <v>2541</v>
      </c>
      <c r="AO19" s="66">
        <v>121</v>
      </c>
      <c r="AP19" s="66">
        <v>121</v>
      </c>
      <c r="AQ19" s="67">
        <v>153000000</v>
      </c>
      <c r="AR19" s="68">
        <v>153000000</v>
      </c>
      <c r="AS19" s="194">
        <v>331978624</v>
      </c>
      <c r="AT19" s="194">
        <v>331978624</v>
      </c>
    </row>
    <row r="20" spans="1:46" s="60" customFormat="1" ht="31.5" customHeight="1" x14ac:dyDescent="0.2">
      <c r="A20" s="42"/>
      <c r="B20" s="43"/>
      <c r="C20" s="186" t="s">
        <v>2393</v>
      </c>
      <c r="D20" s="186" t="s">
        <v>2425</v>
      </c>
      <c r="E20" s="186" t="s">
        <v>2392</v>
      </c>
      <c r="F20" s="186" t="s">
        <v>2322</v>
      </c>
      <c r="G20" s="44" t="s">
        <v>2321</v>
      </c>
      <c r="H20" s="62" t="s">
        <v>2342</v>
      </c>
      <c r="I20" s="44" t="s">
        <v>2235</v>
      </c>
      <c r="J20" s="45" t="s">
        <v>2261</v>
      </c>
      <c r="K20" s="72">
        <f>+L20+N20+P20+R20+T20</f>
        <v>31.800000000000004</v>
      </c>
      <c r="L20" s="49">
        <v>4.99</v>
      </c>
      <c r="M20" s="47">
        <v>4.99</v>
      </c>
      <c r="N20" s="49">
        <v>3.66</v>
      </c>
      <c r="O20" s="49">
        <v>3.66</v>
      </c>
      <c r="P20" s="49">
        <v>16.8</v>
      </c>
      <c r="Q20" s="64">
        <v>17</v>
      </c>
      <c r="R20" s="49">
        <v>4</v>
      </c>
      <c r="S20" s="49">
        <v>0</v>
      </c>
      <c r="T20" s="49">
        <v>2.35</v>
      </c>
      <c r="U20" s="49">
        <v>0</v>
      </c>
      <c r="V20" s="50">
        <f>M20+O20+S20+Q20+U20</f>
        <v>25.65</v>
      </c>
      <c r="W20" s="51">
        <f>(V20/K20)</f>
        <v>0.80660377358490554</v>
      </c>
      <c r="X20" s="84">
        <v>0.08</v>
      </c>
      <c r="Y20" s="52"/>
      <c r="Z20" s="52"/>
      <c r="AA20" s="53">
        <f>11.53-X20</f>
        <v>11.45</v>
      </c>
      <c r="AB20" s="53"/>
      <c r="AC20" s="53"/>
      <c r="AD20" s="53">
        <v>13.74</v>
      </c>
      <c r="AE20" s="53"/>
      <c r="AF20" s="53"/>
      <c r="AG20" s="61">
        <v>17</v>
      </c>
      <c r="AH20" s="61"/>
      <c r="AI20" s="61"/>
      <c r="AJ20" s="85">
        <f>+AG20</f>
        <v>17</v>
      </c>
      <c r="AK20" s="55">
        <f>AJ20/P20</f>
        <v>1.0119047619047619</v>
      </c>
      <c r="AL20" s="56" t="s">
        <v>2521</v>
      </c>
      <c r="AM20" s="56" t="s">
        <v>2486</v>
      </c>
      <c r="AN20" s="56" t="s">
        <v>2522</v>
      </c>
      <c r="AO20" s="86">
        <v>321</v>
      </c>
      <c r="AP20" s="86">
        <v>110</v>
      </c>
      <c r="AQ20" s="87">
        <v>707861700</v>
      </c>
      <c r="AR20" s="88">
        <v>707861700</v>
      </c>
      <c r="AS20" s="194">
        <v>257381400</v>
      </c>
      <c r="AT20" s="194">
        <v>257381400</v>
      </c>
    </row>
    <row r="21" spans="1:46" s="60" customFormat="1" ht="31.5" customHeight="1" x14ac:dyDescent="0.2">
      <c r="A21" s="42"/>
      <c r="B21" s="43"/>
      <c r="C21" s="186" t="s">
        <v>2393</v>
      </c>
      <c r="D21" s="186" t="s">
        <v>2425</v>
      </c>
      <c r="E21" s="186" t="s">
        <v>2392</v>
      </c>
      <c r="F21" s="186" t="s">
        <v>2581</v>
      </c>
      <c r="G21" s="44" t="s">
        <v>2321</v>
      </c>
      <c r="H21" s="62"/>
      <c r="I21" s="44" t="s">
        <v>2269</v>
      </c>
      <c r="J21" s="45" t="s">
        <v>2261</v>
      </c>
      <c r="K21" s="72">
        <f>+L21+N21+P21+R21+T21</f>
        <v>119.91</v>
      </c>
      <c r="L21" s="49">
        <v>0</v>
      </c>
      <c r="M21" s="47">
        <v>0</v>
      </c>
      <c r="N21" s="49">
        <v>11.95</v>
      </c>
      <c r="O21" s="49">
        <v>11.95</v>
      </c>
      <c r="P21" s="49">
        <v>61.96</v>
      </c>
      <c r="Q21" s="64">
        <v>23.65</v>
      </c>
      <c r="R21" s="49">
        <v>36.090000000000003</v>
      </c>
      <c r="S21" s="49">
        <v>0</v>
      </c>
      <c r="T21" s="49">
        <v>9.91</v>
      </c>
      <c r="U21" s="49">
        <v>0</v>
      </c>
      <c r="V21" s="50">
        <f>M21+O21+S21+Q21+U21</f>
        <v>35.599999999999994</v>
      </c>
      <c r="W21" s="51">
        <f>(V21/110)</f>
        <v>0.32363636363636361</v>
      </c>
      <c r="X21" s="84">
        <v>1.1200000000000001</v>
      </c>
      <c r="Y21" s="52"/>
      <c r="Z21" s="52"/>
      <c r="AA21" s="53">
        <f>1.77-X21</f>
        <v>0.64999999999999991</v>
      </c>
      <c r="AB21" s="53"/>
      <c r="AC21" s="53"/>
      <c r="AD21" s="53">
        <v>12.34</v>
      </c>
      <c r="AE21" s="53"/>
      <c r="AF21" s="53"/>
      <c r="AG21" s="53">
        <v>23.65</v>
      </c>
      <c r="AH21" s="53"/>
      <c r="AI21" s="53"/>
      <c r="AJ21" s="85">
        <f>+AG21</f>
        <v>23.65</v>
      </c>
      <c r="AK21" s="55">
        <f t="shared" ref="AK21:AK22" si="1">AJ21/P21</f>
        <v>0.38169786959328594</v>
      </c>
      <c r="AL21" s="56"/>
      <c r="AM21" s="56"/>
      <c r="AN21" s="56"/>
      <c r="AO21" s="86">
        <v>250</v>
      </c>
      <c r="AP21" s="86">
        <v>250</v>
      </c>
      <c r="AQ21" s="87">
        <v>57935582146</v>
      </c>
      <c r="AR21" s="88">
        <v>57935582146</v>
      </c>
      <c r="AS21" s="194">
        <v>49907000000</v>
      </c>
      <c r="AT21" s="194">
        <v>49907000000</v>
      </c>
    </row>
    <row r="22" spans="1:46" s="60" customFormat="1" ht="31.5" customHeight="1" x14ac:dyDescent="0.2">
      <c r="A22" s="42"/>
      <c r="B22" s="43"/>
      <c r="C22" s="186" t="s">
        <v>2393</v>
      </c>
      <c r="D22" s="186" t="s">
        <v>2425</v>
      </c>
      <c r="E22" s="186" t="s">
        <v>2392</v>
      </c>
      <c r="F22" s="186" t="s">
        <v>2582</v>
      </c>
      <c r="G22" s="44" t="s">
        <v>2321</v>
      </c>
      <c r="H22" s="62"/>
      <c r="I22" s="44" t="s">
        <v>2270</v>
      </c>
      <c r="J22" s="45" t="s">
        <v>2261</v>
      </c>
      <c r="K22" s="72">
        <f>+L22+N22+P22+R22+T22</f>
        <v>79</v>
      </c>
      <c r="L22" s="49">
        <v>8.73</v>
      </c>
      <c r="M22" s="47">
        <v>8.73</v>
      </c>
      <c r="N22" s="49">
        <v>27.53</v>
      </c>
      <c r="O22" s="49">
        <v>27.53</v>
      </c>
      <c r="P22" s="49">
        <v>20.3</v>
      </c>
      <c r="Q22" s="64">
        <v>21.09</v>
      </c>
      <c r="R22" s="49">
        <v>15.3</v>
      </c>
      <c r="S22" s="49">
        <v>0</v>
      </c>
      <c r="T22" s="49">
        <v>7.14</v>
      </c>
      <c r="U22" s="49">
        <v>0</v>
      </c>
      <c r="V22" s="50">
        <f>M22+O22+S22+Q22+U22</f>
        <v>57.350000000000009</v>
      </c>
      <c r="W22" s="51">
        <f>(V22/K22)</f>
        <v>0.72594936708860769</v>
      </c>
      <c r="X22" s="84">
        <v>8.5</v>
      </c>
      <c r="Y22" s="52"/>
      <c r="Z22" s="52"/>
      <c r="AA22" s="53">
        <f>10.24-X22</f>
        <v>1.7400000000000002</v>
      </c>
      <c r="AB22" s="53"/>
      <c r="AC22" s="53"/>
      <c r="AD22" s="53">
        <v>19.66</v>
      </c>
      <c r="AE22" s="53"/>
      <c r="AF22" s="53"/>
      <c r="AG22" s="61">
        <v>21.09</v>
      </c>
      <c r="AH22" s="61"/>
      <c r="AI22" s="61"/>
      <c r="AJ22" s="85">
        <f>+AG22</f>
        <v>21.09</v>
      </c>
      <c r="AK22" s="55">
        <f t="shared" si="1"/>
        <v>1.0389162561576355</v>
      </c>
      <c r="AL22" s="56"/>
      <c r="AM22" s="56"/>
      <c r="AN22" s="56"/>
      <c r="AO22" s="86">
        <v>323</v>
      </c>
      <c r="AP22" s="86">
        <v>303</v>
      </c>
      <c r="AQ22" s="87">
        <v>12570900327</v>
      </c>
      <c r="AR22" s="88">
        <v>12570900327</v>
      </c>
      <c r="AS22" s="194">
        <v>10926433117</v>
      </c>
      <c r="AT22" s="194">
        <v>10926433117</v>
      </c>
    </row>
    <row r="23" spans="1:46" s="60" customFormat="1" ht="31.5" customHeight="1" x14ac:dyDescent="0.2">
      <c r="A23" s="42"/>
      <c r="B23" s="43"/>
      <c r="C23" s="186" t="s">
        <v>2272</v>
      </c>
      <c r="D23" s="186" t="s">
        <v>2425</v>
      </c>
      <c r="E23" s="186" t="s">
        <v>2392</v>
      </c>
      <c r="F23" s="186" t="s">
        <v>2323</v>
      </c>
      <c r="G23" s="44" t="s">
        <v>2324</v>
      </c>
      <c r="H23" s="62" t="s">
        <v>2325</v>
      </c>
      <c r="I23" s="44" t="s">
        <v>2269</v>
      </c>
      <c r="J23" s="45" t="s">
        <v>2261</v>
      </c>
      <c r="K23" s="72">
        <f>+L23+N23+P23+R23+T23</f>
        <v>938</v>
      </c>
      <c r="L23" s="49">
        <v>11.95</v>
      </c>
      <c r="M23" s="47">
        <v>11.95</v>
      </c>
      <c r="N23" s="49">
        <v>220.51</v>
      </c>
      <c r="O23" s="49">
        <v>220.51</v>
      </c>
      <c r="P23" s="49">
        <v>597</v>
      </c>
      <c r="Q23" s="64">
        <v>265.20999999999998</v>
      </c>
      <c r="R23" s="49">
        <v>108.54</v>
      </c>
      <c r="S23" s="49">
        <v>0</v>
      </c>
      <c r="T23" s="49">
        <v>0</v>
      </c>
      <c r="U23" s="49">
        <v>0</v>
      </c>
      <c r="V23" s="80">
        <f>M23+O23+S23+Q23+U23</f>
        <v>497.66999999999996</v>
      </c>
      <c r="W23" s="51">
        <f>(V23/938)</f>
        <v>0.53056503198294236</v>
      </c>
      <c r="X23" s="52">
        <v>68.16</v>
      </c>
      <c r="Y23" s="52"/>
      <c r="Z23" s="52"/>
      <c r="AA23" s="53">
        <v>106.63</v>
      </c>
      <c r="AB23" s="53"/>
      <c r="AC23" s="53"/>
      <c r="AD23" s="89">
        <v>155.1</v>
      </c>
      <c r="AE23" s="89"/>
      <c r="AF23" s="89"/>
      <c r="AG23" s="53">
        <v>265.20999999999998</v>
      </c>
      <c r="AH23" s="53"/>
      <c r="AI23" s="53"/>
      <c r="AJ23" s="85">
        <f>AG23</f>
        <v>265.20999999999998</v>
      </c>
      <c r="AK23" s="55">
        <f>+AJ23/P23</f>
        <v>0.44423785594639864</v>
      </c>
      <c r="AL23" s="56" t="s">
        <v>2524</v>
      </c>
      <c r="AM23" s="56" t="s">
        <v>2523</v>
      </c>
      <c r="AN23" s="56" t="s">
        <v>2525</v>
      </c>
      <c r="AO23" s="86">
        <v>183178</v>
      </c>
      <c r="AP23" s="86">
        <v>170460</v>
      </c>
      <c r="AQ23" s="87">
        <v>274331391632</v>
      </c>
      <c r="AR23" s="88">
        <v>262468515111</v>
      </c>
      <c r="AS23" s="194">
        <v>277383043197</v>
      </c>
      <c r="AT23" s="194">
        <v>264763616955</v>
      </c>
    </row>
    <row r="24" spans="1:46" s="60" customFormat="1" ht="31.5" customHeight="1" x14ac:dyDescent="0.2">
      <c r="A24" s="42"/>
      <c r="B24" s="43"/>
      <c r="C24" s="186" t="s">
        <v>2272</v>
      </c>
      <c r="D24" s="186" t="s">
        <v>2425</v>
      </c>
      <c r="E24" s="186" t="s">
        <v>2392</v>
      </c>
      <c r="F24" s="186" t="s">
        <v>2583</v>
      </c>
      <c r="G24" s="44" t="s">
        <v>2324</v>
      </c>
      <c r="H24" s="62"/>
      <c r="I24" s="44" t="s">
        <v>2270</v>
      </c>
      <c r="J24" s="45" t="s">
        <v>2261</v>
      </c>
      <c r="K24" s="72">
        <f>+L24+N24+P24+R24+T24</f>
        <v>1474.94</v>
      </c>
      <c r="L24" s="49">
        <v>245.35</v>
      </c>
      <c r="M24" s="47">
        <v>245.35</v>
      </c>
      <c r="N24" s="49">
        <v>407.52</v>
      </c>
      <c r="O24" s="49">
        <v>407.52</v>
      </c>
      <c r="P24" s="49">
        <v>486.25</v>
      </c>
      <c r="Q24" s="64">
        <v>490.81</v>
      </c>
      <c r="R24" s="49">
        <v>211.13</v>
      </c>
      <c r="S24" s="49">
        <v>0</v>
      </c>
      <c r="T24" s="49">
        <v>124.69</v>
      </c>
      <c r="U24" s="49">
        <v>0</v>
      </c>
      <c r="V24" s="80">
        <f>M24+O24+S24+Q24+U24</f>
        <v>1143.68</v>
      </c>
      <c r="W24" s="51">
        <f>(V24/K24)</f>
        <v>0.77540781319918095</v>
      </c>
      <c r="X24" s="52">
        <v>202.93</v>
      </c>
      <c r="Y24" s="52"/>
      <c r="Z24" s="52"/>
      <c r="AA24" s="53">
        <v>321.26</v>
      </c>
      <c r="AB24" s="53"/>
      <c r="AC24" s="53"/>
      <c r="AD24" s="53">
        <v>422.05</v>
      </c>
      <c r="AE24" s="53"/>
      <c r="AF24" s="53"/>
      <c r="AG24" s="53">
        <v>490.81</v>
      </c>
      <c r="AH24" s="53"/>
      <c r="AI24" s="53"/>
      <c r="AJ24" s="85">
        <f>AG24</f>
        <v>490.81</v>
      </c>
      <c r="AK24" s="55">
        <f>+AJ24/P24</f>
        <v>1.0093778920308483</v>
      </c>
      <c r="AL24" s="56"/>
      <c r="AM24" s="56"/>
      <c r="AN24" s="56"/>
      <c r="AO24" s="86">
        <v>45604</v>
      </c>
      <c r="AP24" s="86">
        <v>39814</v>
      </c>
      <c r="AQ24" s="87">
        <v>113290768007</v>
      </c>
      <c r="AR24" s="88">
        <v>106994330826</v>
      </c>
      <c r="AS24" s="194">
        <v>138691479349</v>
      </c>
      <c r="AT24" s="194">
        <v>133789286759</v>
      </c>
    </row>
    <row r="25" spans="1:46" s="60" customFormat="1" ht="31.5" customHeight="1" x14ac:dyDescent="0.2">
      <c r="A25" s="42"/>
      <c r="B25" s="43"/>
      <c r="C25" s="44" t="s">
        <v>2272</v>
      </c>
      <c r="D25" s="44" t="s">
        <v>2425</v>
      </c>
      <c r="E25" s="186" t="s">
        <v>2392</v>
      </c>
      <c r="F25" s="44" t="s">
        <v>2377</v>
      </c>
      <c r="G25" s="44" t="s">
        <v>2376</v>
      </c>
      <c r="H25" s="44" t="s">
        <v>2378</v>
      </c>
      <c r="I25" s="44" t="s">
        <v>2235</v>
      </c>
      <c r="J25" s="45" t="s">
        <v>2258</v>
      </c>
      <c r="K25" s="90">
        <v>50</v>
      </c>
      <c r="L25" s="64">
        <v>50</v>
      </c>
      <c r="M25" s="47">
        <v>43.85</v>
      </c>
      <c r="N25" s="64">
        <v>50</v>
      </c>
      <c r="O25" s="64">
        <v>45.6</v>
      </c>
      <c r="P25" s="64">
        <v>50</v>
      </c>
      <c r="Q25" s="64">
        <v>53.17</v>
      </c>
      <c r="R25" s="64">
        <v>50</v>
      </c>
      <c r="S25" s="49">
        <v>0</v>
      </c>
      <c r="T25" s="64">
        <v>50</v>
      </c>
      <c r="U25" s="49">
        <v>0</v>
      </c>
      <c r="V25" s="91">
        <f>+AVERAGE(M25,O25,Q25)</f>
        <v>47.54</v>
      </c>
      <c r="W25" s="51">
        <f>50/V25</f>
        <v>1.0517458981909971</v>
      </c>
      <c r="X25" s="84">
        <v>51.8</v>
      </c>
      <c r="Y25" s="52"/>
      <c r="Z25" s="52"/>
      <c r="AA25" s="53">
        <v>53.17</v>
      </c>
      <c r="AB25" s="53"/>
      <c r="AC25" s="53"/>
      <c r="AD25" s="61">
        <v>0</v>
      </c>
      <c r="AE25" s="61"/>
      <c r="AF25" s="61"/>
      <c r="AG25" s="53">
        <v>54.82</v>
      </c>
      <c r="AH25" s="53"/>
      <c r="AI25" s="53"/>
      <c r="AJ25" s="85">
        <f>AG25</f>
        <v>54.82</v>
      </c>
      <c r="AK25" s="55">
        <f>+P25/AJ25</f>
        <v>0.91207588471360812</v>
      </c>
      <c r="AL25" s="79" t="s">
        <v>2553</v>
      </c>
      <c r="AM25" s="45" t="s">
        <v>2552</v>
      </c>
      <c r="AN25" s="45" t="s">
        <v>2554</v>
      </c>
      <c r="AO25" s="86">
        <v>89038</v>
      </c>
      <c r="AP25" s="86">
        <v>88330</v>
      </c>
      <c r="AQ25" s="92">
        <v>158464998049</v>
      </c>
      <c r="AR25" s="93">
        <v>156754214655</v>
      </c>
      <c r="AS25" s="194">
        <v>157098250885</v>
      </c>
      <c r="AT25" s="194">
        <v>154808078635</v>
      </c>
    </row>
    <row r="26" spans="1:46" s="60" customFormat="1" ht="31.5" customHeight="1" x14ac:dyDescent="0.2">
      <c r="A26" s="42"/>
      <c r="B26" s="43"/>
      <c r="C26" s="44" t="s">
        <v>2273</v>
      </c>
      <c r="D26" s="44" t="s">
        <v>2425</v>
      </c>
      <c r="E26" s="186" t="s">
        <v>2392</v>
      </c>
      <c r="F26" s="44" t="s">
        <v>2350</v>
      </c>
      <c r="G26" s="44" t="s">
        <v>2344</v>
      </c>
      <c r="H26" s="44" t="s">
        <v>2374</v>
      </c>
      <c r="I26" s="44" t="s">
        <v>2235</v>
      </c>
      <c r="J26" s="45" t="s">
        <v>2260</v>
      </c>
      <c r="K26" s="90">
        <v>404</v>
      </c>
      <c r="L26" s="49">
        <v>473</v>
      </c>
      <c r="M26" s="47">
        <v>371</v>
      </c>
      <c r="N26" s="49">
        <v>449</v>
      </c>
      <c r="O26" s="49">
        <v>458</v>
      </c>
      <c r="P26" s="64">
        <v>458</v>
      </c>
      <c r="Q26" s="60">
        <v>553</v>
      </c>
      <c r="R26" s="64">
        <v>405</v>
      </c>
      <c r="S26" s="49">
        <v>0</v>
      </c>
      <c r="T26" s="64">
        <v>404</v>
      </c>
      <c r="U26" s="49">
        <v>0</v>
      </c>
      <c r="V26" s="91">
        <v>404</v>
      </c>
      <c r="W26" s="51">
        <f>404/458</f>
        <v>0.88209606986899558</v>
      </c>
      <c r="X26" s="52">
        <v>458</v>
      </c>
      <c r="Y26" s="52"/>
      <c r="Z26" s="52"/>
      <c r="AA26" s="61">
        <v>458</v>
      </c>
      <c r="AB26" s="61"/>
      <c r="AC26" s="61"/>
      <c r="AD26" s="61">
        <v>458</v>
      </c>
      <c r="AE26" s="61"/>
      <c r="AF26" s="61"/>
      <c r="AG26" s="61">
        <v>553</v>
      </c>
      <c r="AH26" s="61"/>
      <c r="AI26" s="61"/>
      <c r="AJ26" s="94">
        <v>553</v>
      </c>
      <c r="AK26" s="95">
        <f>P26/Q26</f>
        <v>0.82820976491862563</v>
      </c>
      <c r="AL26" s="56" t="s">
        <v>2513</v>
      </c>
      <c r="AM26" s="56" t="s">
        <v>2512</v>
      </c>
      <c r="AN26" s="56" t="s">
        <v>2514</v>
      </c>
      <c r="AO26" s="57">
        <v>19877</v>
      </c>
      <c r="AP26" s="57">
        <v>15454</v>
      </c>
      <c r="AQ26" s="96">
        <v>59503141942</v>
      </c>
      <c r="AR26" s="97">
        <v>58088738158</v>
      </c>
      <c r="AS26" s="195">
        <v>73021974733</v>
      </c>
      <c r="AT26" s="195">
        <v>72881815774</v>
      </c>
    </row>
    <row r="27" spans="1:46" s="60" customFormat="1" ht="31.5" customHeight="1" x14ac:dyDescent="0.2">
      <c r="A27" s="42"/>
      <c r="B27" s="43"/>
      <c r="C27" s="44" t="s">
        <v>2273</v>
      </c>
      <c r="D27" s="44" t="s">
        <v>2425</v>
      </c>
      <c r="E27" s="186" t="s">
        <v>2392</v>
      </c>
      <c r="F27" s="44" t="s">
        <v>2482</v>
      </c>
      <c r="G27" s="44" t="s">
        <v>2344</v>
      </c>
      <c r="H27" s="44" t="s">
        <v>2472</v>
      </c>
      <c r="I27" s="44" t="s">
        <v>2235</v>
      </c>
      <c r="J27" s="45" t="s">
        <v>2260</v>
      </c>
      <c r="K27" s="90">
        <v>146</v>
      </c>
      <c r="L27" s="49">
        <v>172</v>
      </c>
      <c r="M27" s="47">
        <v>150</v>
      </c>
      <c r="N27" s="49">
        <v>163</v>
      </c>
      <c r="O27" s="49">
        <v>153</v>
      </c>
      <c r="P27" s="64">
        <v>153</v>
      </c>
      <c r="Q27" s="60">
        <v>186</v>
      </c>
      <c r="R27" s="64">
        <v>147</v>
      </c>
      <c r="S27" s="49">
        <v>0</v>
      </c>
      <c r="T27" s="64">
        <v>146</v>
      </c>
      <c r="U27" s="49">
        <v>0</v>
      </c>
      <c r="V27" s="91">
        <f>O27</f>
        <v>153</v>
      </c>
      <c r="W27" s="51">
        <f>T27/O27</f>
        <v>0.95424836601307195</v>
      </c>
      <c r="X27" s="52">
        <v>153</v>
      </c>
      <c r="Y27" s="52"/>
      <c r="Z27" s="52"/>
      <c r="AA27" s="61">
        <v>153</v>
      </c>
      <c r="AB27" s="61"/>
      <c r="AC27" s="61"/>
      <c r="AD27" s="61">
        <v>153</v>
      </c>
      <c r="AE27" s="61"/>
      <c r="AF27" s="61"/>
      <c r="AG27" s="61">
        <v>186</v>
      </c>
      <c r="AH27" s="61"/>
      <c r="AI27" s="61"/>
      <c r="AJ27" s="98">
        <v>186</v>
      </c>
      <c r="AK27" s="95">
        <f>P27/Q27</f>
        <v>0.82258064516129037</v>
      </c>
      <c r="AL27" s="56"/>
      <c r="AM27" s="56"/>
      <c r="AN27" s="56"/>
      <c r="AO27" s="57"/>
      <c r="AP27" s="57"/>
      <c r="AQ27" s="96"/>
      <c r="AR27" s="97"/>
      <c r="AS27" s="195"/>
      <c r="AT27" s="195"/>
    </row>
    <row r="28" spans="1:46" s="60" customFormat="1" ht="31.5" customHeight="1" x14ac:dyDescent="0.2">
      <c r="A28" s="42"/>
      <c r="B28" s="43"/>
      <c r="C28" s="44" t="s">
        <v>2273</v>
      </c>
      <c r="D28" s="44" t="s">
        <v>2425</v>
      </c>
      <c r="E28" s="186" t="s">
        <v>2392</v>
      </c>
      <c r="F28" s="44" t="s">
        <v>2373</v>
      </c>
      <c r="G28" s="44" t="s">
        <v>2372</v>
      </c>
      <c r="H28" s="44" t="s">
        <v>2375</v>
      </c>
      <c r="I28" s="44" t="s">
        <v>2235</v>
      </c>
      <c r="J28" s="45" t="s">
        <v>2258</v>
      </c>
      <c r="K28" s="72">
        <v>1</v>
      </c>
      <c r="L28" s="49">
        <v>1</v>
      </c>
      <c r="M28" s="47">
        <v>1</v>
      </c>
      <c r="N28" s="49">
        <v>1</v>
      </c>
      <c r="O28" s="49">
        <v>1</v>
      </c>
      <c r="P28" s="49">
        <v>1</v>
      </c>
      <c r="Q28" s="49">
        <v>0.75</v>
      </c>
      <c r="R28" s="49">
        <v>1</v>
      </c>
      <c r="S28" s="49">
        <v>0</v>
      </c>
      <c r="T28" s="49">
        <v>1</v>
      </c>
      <c r="U28" s="49">
        <v>0</v>
      </c>
      <c r="V28" s="50">
        <f>+AVERAGE(M28,O28,Q28,0,0)</f>
        <v>0.55000000000000004</v>
      </c>
      <c r="W28" s="99">
        <f>+V28/K28</f>
        <v>0.55000000000000004</v>
      </c>
      <c r="X28" s="52">
        <v>0.25</v>
      </c>
      <c r="Y28" s="52"/>
      <c r="Z28" s="52"/>
      <c r="AA28" s="81">
        <v>50</v>
      </c>
      <c r="AB28" s="81"/>
      <c r="AC28" s="81"/>
      <c r="AD28" s="81">
        <v>0.75</v>
      </c>
      <c r="AE28" s="81"/>
      <c r="AF28" s="81"/>
      <c r="AG28" s="100">
        <v>1</v>
      </c>
      <c r="AH28" s="100"/>
      <c r="AI28" s="100"/>
      <c r="AJ28" s="101">
        <f>AG28</f>
        <v>1</v>
      </c>
      <c r="AK28" s="75">
        <f>+AJ28/P28</f>
        <v>1</v>
      </c>
      <c r="AL28" s="45" t="s">
        <v>2550</v>
      </c>
      <c r="AM28" s="45" t="s">
        <v>2485</v>
      </c>
      <c r="AN28" s="45" t="s">
        <v>2551</v>
      </c>
      <c r="AO28" s="102">
        <v>823</v>
      </c>
      <c r="AP28" s="102">
        <v>823</v>
      </c>
      <c r="AQ28" s="87">
        <v>1378342278</v>
      </c>
      <c r="AR28" s="88">
        <v>1378342278</v>
      </c>
      <c r="AS28" s="194">
        <v>1775710926</v>
      </c>
      <c r="AT28" s="194">
        <v>1775710726</v>
      </c>
    </row>
    <row r="29" spans="1:46" s="60" customFormat="1" ht="31.5" customHeight="1" x14ac:dyDescent="0.2">
      <c r="A29" s="42"/>
      <c r="B29" s="43"/>
      <c r="C29" s="186" t="s">
        <v>2271</v>
      </c>
      <c r="D29" s="186" t="s">
        <v>2425</v>
      </c>
      <c r="E29" s="186" t="s">
        <v>2392</v>
      </c>
      <c r="F29" s="186" t="s">
        <v>2352</v>
      </c>
      <c r="G29" s="44" t="s">
        <v>2351</v>
      </c>
      <c r="H29" s="62" t="s">
        <v>2353</v>
      </c>
      <c r="I29" s="44" t="s">
        <v>2270</v>
      </c>
      <c r="J29" s="45" t="s">
        <v>2261</v>
      </c>
      <c r="K29" s="72">
        <f>+L29+N29+P29+R29+T29</f>
        <v>0.25</v>
      </c>
      <c r="L29" s="49">
        <v>0.01</v>
      </c>
      <c r="M29" s="47">
        <v>0.01</v>
      </c>
      <c r="N29" s="49">
        <v>0.04</v>
      </c>
      <c r="O29" s="49">
        <v>0.04</v>
      </c>
      <c r="P29" s="49">
        <v>0.08</v>
      </c>
      <c r="Q29" s="64">
        <v>0.08</v>
      </c>
      <c r="R29" s="64">
        <v>0.09</v>
      </c>
      <c r="S29" s="49">
        <v>0</v>
      </c>
      <c r="T29" s="64">
        <v>0.03</v>
      </c>
      <c r="U29" s="49">
        <v>0</v>
      </c>
      <c r="V29" s="80">
        <f>M29+O29+S29+Q29+U29</f>
        <v>0.13</v>
      </c>
      <c r="W29" s="51">
        <f>(V29/K29)</f>
        <v>0.52</v>
      </c>
      <c r="X29" s="52">
        <v>0.02</v>
      </c>
      <c r="Y29" s="52"/>
      <c r="Z29" s="52"/>
      <c r="AA29" s="53">
        <v>0.04</v>
      </c>
      <c r="AB29" s="53"/>
      <c r="AC29" s="53"/>
      <c r="AD29" s="53">
        <v>7.0000000000000007E-2</v>
      </c>
      <c r="AE29" s="53"/>
      <c r="AF29" s="53"/>
      <c r="AG29" s="53">
        <v>0.08</v>
      </c>
      <c r="AH29" s="53"/>
      <c r="AI29" s="53"/>
      <c r="AJ29" s="85">
        <f>MAX(X29,AA29,AD29,AG29)</f>
        <v>0.08</v>
      </c>
      <c r="AK29" s="103">
        <f>AJ29/P29</f>
        <v>1</v>
      </c>
      <c r="AL29" s="56" t="s">
        <v>2538</v>
      </c>
      <c r="AM29" s="56" t="s">
        <v>2537</v>
      </c>
      <c r="AN29" s="56" t="s">
        <v>2539</v>
      </c>
      <c r="AO29" s="86">
        <v>19</v>
      </c>
      <c r="AP29" s="86">
        <v>19</v>
      </c>
      <c r="AQ29" s="87">
        <v>129866666</v>
      </c>
      <c r="AR29" s="88">
        <v>129098666</v>
      </c>
      <c r="AS29" s="194">
        <v>186316000</v>
      </c>
      <c r="AT29" s="194">
        <v>186316000</v>
      </c>
    </row>
    <row r="30" spans="1:46" s="60" customFormat="1" ht="31.5" customHeight="1" x14ac:dyDescent="0.2">
      <c r="A30" s="42"/>
      <c r="B30" s="43"/>
      <c r="C30" s="186" t="s">
        <v>2271</v>
      </c>
      <c r="D30" s="186" t="s">
        <v>2425</v>
      </c>
      <c r="E30" s="186" t="s">
        <v>2392</v>
      </c>
      <c r="F30" s="186" t="s">
        <v>2584</v>
      </c>
      <c r="G30" s="44" t="s">
        <v>2351</v>
      </c>
      <c r="H30" s="62"/>
      <c r="I30" s="44" t="s">
        <v>2235</v>
      </c>
      <c r="J30" s="45" t="s">
        <v>2261</v>
      </c>
      <c r="K30" s="72">
        <f>+L30+N30+P30+R30+T30</f>
        <v>0.25</v>
      </c>
      <c r="L30" s="49">
        <v>0.05</v>
      </c>
      <c r="M30" s="47">
        <v>0.05</v>
      </c>
      <c r="N30" s="49">
        <v>0.05</v>
      </c>
      <c r="O30" s="49">
        <v>0.05</v>
      </c>
      <c r="P30" s="49">
        <v>0.05</v>
      </c>
      <c r="Q30" s="64">
        <v>0.05</v>
      </c>
      <c r="R30" s="64">
        <v>0.05</v>
      </c>
      <c r="S30" s="49">
        <v>0</v>
      </c>
      <c r="T30" s="64">
        <v>0.05</v>
      </c>
      <c r="U30" s="49">
        <v>0</v>
      </c>
      <c r="V30" s="80">
        <f t="shared" ref="V30:V33" si="2">M30+O30+S30+Q30+U30</f>
        <v>0.15000000000000002</v>
      </c>
      <c r="W30" s="51">
        <f t="shared" ref="W30:W33" si="3">(V30/K30)</f>
        <v>0.60000000000000009</v>
      </c>
      <c r="X30" s="52">
        <v>0.01</v>
      </c>
      <c r="Y30" s="52"/>
      <c r="Z30" s="52"/>
      <c r="AA30" s="53">
        <v>0.02</v>
      </c>
      <c r="AB30" s="53"/>
      <c r="AC30" s="53"/>
      <c r="AD30" s="53">
        <v>0.04</v>
      </c>
      <c r="AE30" s="53"/>
      <c r="AF30" s="53"/>
      <c r="AG30" s="53">
        <v>0.05</v>
      </c>
      <c r="AH30" s="53"/>
      <c r="AI30" s="53"/>
      <c r="AJ30" s="85">
        <f t="shared" ref="AJ30:AJ33" si="4">MAX(X30,AA30,AD30,AG30)</f>
        <v>0.05</v>
      </c>
      <c r="AK30" s="103">
        <f t="shared" ref="AK30:AK33" si="5">AJ30/P30</f>
        <v>1</v>
      </c>
      <c r="AL30" s="56"/>
      <c r="AM30" s="56"/>
      <c r="AN30" s="56"/>
      <c r="AO30" s="86">
        <v>3002</v>
      </c>
      <c r="AP30" s="86">
        <v>3002</v>
      </c>
      <c r="AQ30" s="87">
        <v>5321751009</v>
      </c>
      <c r="AR30" s="88">
        <v>5308222354</v>
      </c>
      <c r="AS30" s="194">
        <v>6729553000</v>
      </c>
      <c r="AT30" s="194">
        <v>6667049791</v>
      </c>
    </row>
    <row r="31" spans="1:46" s="60" customFormat="1" ht="31.5" customHeight="1" x14ac:dyDescent="0.2">
      <c r="A31" s="42"/>
      <c r="B31" s="43"/>
      <c r="C31" s="186" t="s">
        <v>2271</v>
      </c>
      <c r="D31" s="186" t="s">
        <v>2425</v>
      </c>
      <c r="E31" s="186" t="s">
        <v>2392</v>
      </c>
      <c r="F31" s="186" t="s">
        <v>2585</v>
      </c>
      <c r="G31" s="44" t="s">
        <v>2351</v>
      </c>
      <c r="H31" s="62"/>
      <c r="I31" s="44" t="s">
        <v>2388</v>
      </c>
      <c r="J31" s="45" t="s">
        <v>2261</v>
      </c>
      <c r="K31" s="72">
        <f>+L31+N31+P31+R31+T31</f>
        <v>0.25</v>
      </c>
      <c r="L31" s="49">
        <v>0</v>
      </c>
      <c r="M31" s="47">
        <v>0</v>
      </c>
      <c r="N31" s="49">
        <v>0</v>
      </c>
      <c r="O31" s="49">
        <v>0</v>
      </c>
      <c r="P31" s="49">
        <v>0.05</v>
      </c>
      <c r="Q31" s="64">
        <v>0.05</v>
      </c>
      <c r="R31" s="64">
        <v>0.14000000000000001</v>
      </c>
      <c r="S31" s="49">
        <v>0</v>
      </c>
      <c r="T31" s="64">
        <v>0.06</v>
      </c>
      <c r="U31" s="49">
        <v>0</v>
      </c>
      <c r="V31" s="80">
        <f t="shared" si="2"/>
        <v>0.05</v>
      </c>
      <c r="W31" s="51">
        <f>(V31/K31)</f>
        <v>0.2</v>
      </c>
      <c r="X31" s="84">
        <v>0.01</v>
      </c>
      <c r="Y31" s="84"/>
      <c r="Z31" s="84"/>
      <c r="AA31" s="53">
        <v>0</v>
      </c>
      <c r="AB31" s="53"/>
      <c r="AC31" s="53"/>
      <c r="AD31" s="53">
        <v>0.04</v>
      </c>
      <c r="AE31" s="53"/>
      <c r="AF31" s="53"/>
      <c r="AG31" s="53">
        <v>0.05</v>
      </c>
      <c r="AH31" s="53"/>
      <c r="AI31" s="53"/>
      <c r="AJ31" s="85">
        <f t="shared" si="4"/>
        <v>0.05</v>
      </c>
      <c r="AK31" s="103">
        <f t="shared" si="5"/>
        <v>1</v>
      </c>
      <c r="AL31" s="56"/>
      <c r="AM31" s="56"/>
      <c r="AN31" s="56"/>
      <c r="AO31" s="86">
        <v>0</v>
      </c>
      <c r="AP31" s="86">
        <v>0</v>
      </c>
      <c r="AQ31" s="87">
        <v>216009400</v>
      </c>
      <c r="AR31" s="88">
        <v>202564270</v>
      </c>
      <c r="AS31" s="194">
        <v>2340815000</v>
      </c>
      <c r="AT31" s="194">
        <v>2340813938</v>
      </c>
    </row>
    <row r="32" spans="1:46" s="60" customFormat="1" ht="31.5" customHeight="1" x14ac:dyDescent="0.2">
      <c r="A32" s="42"/>
      <c r="B32" s="43"/>
      <c r="C32" s="186" t="s">
        <v>2271</v>
      </c>
      <c r="D32" s="186" t="s">
        <v>2425</v>
      </c>
      <c r="E32" s="186" t="s">
        <v>2392</v>
      </c>
      <c r="F32" s="186" t="s">
        <v>2586</v>
      </c>
      <c r="G32" s="44" t="s">
        <v>2351</v>
      </c>
      <c r="H32" s="62"/>
      <c r="I32" s="44" t="s">
        <v>2269</v>
      </c>
      <c r="J32" s="45" t="s">
        <v>2261</v>
      </c>
      <c r="K32" s="72">
        <f>+L32+N32+P32+R32+T32</f>
        <v>0.25</v>
      </c>
      <c r="L32" s="49">
        <v>0</v>
      </c>
      <c r="M32" s="47">
        <v>0</v>
      </c>
      <c r="N32" s="49">
        <v>0</v>
      </c>
      <c r="O32" s="49">
        <v>0</v>
      </c>
      <c r="P32" s="49">
        <v>0</v>
      </c>
      <c r="Q32" s="64">
        <v>0</v>
      </c>
      <c r="R32" s="64">
        <v>0.25</v>
      </c>
      <c r="S32" s="49">
        <v>0</v>
      </c>
      <c r="T32" s="64">
        <v>0</v>
      </c>
      <c r="U32" s="49">
        <v>0</v>
      </c>
      <c r="V32" s="80">
        <f t="shared" si="2"/>
        <v>0</v>
      </c>
      <c r="W32" s="51">
        <f t="shared" si="3"/>
        <v>0</v>
      </c>
      <c r="X32" s="61">
        <v>0</v>
      </c>
      <c r="Y32" s="61"/>
      <c r="Z32" s="61"/>
      <c r="AA32" s="53">
        <v>0</v>
      </c>
      <c r="AB32" s="53"/>
      <c r="AC32" s="53"/>
      <c r="AD32" s="53">
        <v>0</v>
      </c>
      <c r="AE32" s="53"/>
      <c r="AF32" s="53"/>
      <c r="AG32" s="61">
        <v>0</v>
      </c>
      <c r="AH32" s="61"/>
      <c r="AI32" s="61"/>
      <c r="AJ32" s="85">
        <f t="shared" si="4"/>
        <v>0</v>
      </c>
      <c r="AK32" s="103">
        <f>IFERROR(X32/N32,0)</f>
        <v>0</v>
      </c>
      <c r="AL32" s="56"/>
      <c r="AM32" s="56"/>
      <c r="AN32" s="56"/>
      <c r="AO32" s="86">
        <v>0</v>
      </c>
      <c r="AP32" s="86">
        <v>0</v>
      </c>
      <c r="AQ32" s="92">
        <v>0</v>
      </c>
      <c r="AR32" s="93">
        <v>0</v>
      </c>
      <c r="AS32" s="104">
        <v>0</v>
      </c>
      <c r="AT32" s="104">
        <v>0</v>
      </c>
    </row>
    <row r="33" spans="1:46" s="60" customFormat="1" ht="31.5" customHeight="1" x14ac:dyDescent="0.2">
      <c r="A33" s="42"/>
      <c r="B33" s="43"/>
      <c r="C33" s="186" t="s">
        <v>2271</v>
      </c>
      <c r="D33" s="186" t="s">
        <v>2425</v>
      </c>
      <c r="E33" s="186" t="s">
        <v>2392</v>
      </c>
      <c r="F33" s="186" t="s">
        <v>2587</v>
      </c>
      <c r="G33" s="44" t="s">
        <v>2351</v>
      </c>
      <c r="H33" s="62"/>
      <c r="I33" s="44" t="s">
        <v>2236</v>
      </c>
      <c r="J33" s="45" t="s">
        <v>2261</v>
      </c>
      <c r="K33" s="72">
        <f>+L33+N33+P33+R33+T33</f>
        <v>1</v>
      </c>
      <c r="L33" s="49">
        <v>0.05</v>
      </c>
      <c r="M33" s="47">
        <v>0.05</v>
      </c>
      <c r="N33" s="49">
        <v>0.3</v>
      </c>
      <c r="O33" s="49">
        <v>0.3</v>
      </c>
      <c r="P33" s="49">
        <v>0.3</v>
      </c>
      <c r="Q33" s="64">
        <v>0.3</v>
      </c>
      <c r="R33" s="64">
        <v>0.3</v>
      </c>
      <c r="S33" s="49">
        <v>0</v>
      </c>
      <c r="T33" s="64">
        <v>0.05</v>
      </c>
      <c r="U33" s="49">
        <v>0</v>
      </c>
      <c r="V33" s="80">
        <f t="shared" si="2"/>
        <v>0.64999999999999991</v>
      </c>
      <c r="W33" s="51">
        <f t="shared" si="3"/>
        <v>0.64999999999999991</v>
      </c>
      <c r="X33" s="52">
        <v>0.05</v>
      </c>
      <c r="Y33" s="52"/>
      <c r="Z33" s="52"/>
      <c r="AA33" s="53">
        <v>0.1</v>
      </c>
      <c r="AB33" s="53"/>
      <c r="AC33" s="53"/>
      <c r="AD33" s="53">
        <v>0.22</v>
      </c>
      <c r="AE33" s="53"/>
      <c r="AF33" s="53"/>
      <c r="AG33" s="89">
        <v>0.3</v>
      </c>
      <c r="AH33" s="89"/>
      <c r="AI33" s="89"/>
      <c r="AJ33" s="85">
        <f t="shared" si="4"/>
        <v>0.3</v>
      </c>
      <c r="AK33" s="103">
        <f t="shared" si="5"/>
        <v>1</v>
      </c>
      <c r="AL33" s="56"/>
      <c r="AM33" s="56"/>
      <c r="AN33" s="56"/>
      <c r="AO33" s="86">
        <v>10346</v>
      </c>
      <c r="AP33" s="86">
        <v>10345</v>
      </c>
      <c r="AQ33" s="87">
        <v>26639000000</v>
      </c>
      <c r="AR33" s="88">
        <v>26629556379</v>
      </c>
      <c r="AS33" s="194">
        <v>36501290541</v>
      </c>
      <c r="AT33" s="194">
        <v>36448028964</v>
      </c>
    </row>
    <row r="34" spans="1:46" s="60" customFormat="1" ht="31.5" customHeight="1" x14ac:dyDescent="0.2">
      <c r="A34" s="42"/>
      <c r="B34" s="43"/>
      <c r="C34" s="44" t="s">
        <v>2394</v>
      </c>
      <c r="D34" s="44" t="s">
        <v>2425</v>
      </c>
      <c r="E34" s="44" t="s">
        <v>2392</v>
      </c>
      <c r="F34" s="44" t="s">
        <v>2364</v>
      </c>
      <c r="G34" s="44" t="s">
        <v>2363</v>
      </c>
      <c r="H34" s="44" t="s">
        <v>2365</v>
      </c>
      <c r="I34" s="44" t="s">
        <v>2235</v>
      </c>
      <c r="J34" s="45" t="s">
        <v>2258</v>
      </c>
      <c r="K34" s="90">
        <v>1</v>
      </c>
      <c r="L34" s="64">
        <v>0</v>
      </c>
      <c r="M34" s="47">
        <v>0</v>
      </c>
      <c r="N34" s="64">
        <v>1</v>
      </c>
      <c r="O34" s="64">
        <v>1</v>
      </c>
      <c r="P34" s="64">
        <v>1</v>
      </c>
      <c r="Q34" s="64">
        <v>1</v>
      </c>
      <c r="R34" s="64">
        <v>1</v>
      </c>
      <c r="S34" s="49">
        <v>0</v>
      </c>
      <c r="T34" s="64">
        <v>1</v>
      </c>
      <c r="U34" s="64">
        <v>0</v>
      </c>
      <c r="V34" s="83">
        <f>+AVERAGE(O34,Q34,S34,U34)</f>
        <v>0.5</v>
      </c>
      <c r="W34" s="51">
        <f>+AVERAGE(O34,Q34,0,0)</f>
        <v>0.5</v>
      </c>
      <c r="X34" s="52">
        <v>0.49</v>
      </c>
      <c r="Y34" s="52"/>
      <c r="Z34" s="52"/>
      <c r="AA34" s="53">
        <f>0.76-X34</f>
        <v>0.27</v>
      </c>
      <c r="AB34" s="53"/>
      <c r="AC34" s="53"/>
      <c r="AD34" s="53">
        <v>0.89</v>
      </c>
      <c r="AE34" s="53"/>
      <c r="AF34" s="53"/>
      <c r="AG34" s="61">
        <v>1</v>
      </c>
      <c r="AH34" s="61"/>
      <c r="AI34" s="61"/>
      <c r="AJ34" s="85">
        <f>MAX(X34,AA34,AD34,AG34)</f>
        <v>1</v>
      </c>
      <c r="AK34" s="55">
        <f>+AJ34/P34</f>
        <v>1</v>
      </c>
      <c r="AL34" s="45" t="s">
        <v>2542</v>
      </c>
      <c r="AM34" s="45" t="s">
        <v>2486</v>
      </c>
      <c r="AN34" s="45" t="s">
        <v>2543</v>
      </c>
      <c r="AO34" s="86">
        <v>0</v>
      </c>
      <c r="AP34" s="86">
        <v>0</v>
      </c>
      <c r="AQ34" s="92">
        <v>317390184</v>
      </c>
      <c r="AR34" s="93">
        <v>317390184</v>
      </c>
      <c r="AS34" s="194">
        <v>268149535</v>
      </c>
      <c r="AT34" s="194">
        <v>268149535</v>
      </c>
    </row>
    <row r="35" spans="1:46" s="60" customFormat="1" ht="31.5" customHeight="1" x14ac:dyDescent="0.2">
      <c r="A35" s="42"/>
      <c r="B35" s="43"/>
      <c r="C35" s="44" t="s">
        <v>2271</v>
      </c>
      <c r="D35" s="44" t="s">
        <v>2425</v>
      </c>
      <c r="E35" s="44" t="s">
        <v>2392</v>
      </c>
      <c r="F35" s="44" t="s">
        <v>2367</v>
      </c>
      <c r="G35" s="44" t="s">
        <v>2366</v>
      </c>
      <c r="H35" s="44" t="s">
        <v>2368</v>
      </c>
      <c r="I35" s="44" t="s">
        <v>2236</v>
      </c>
      <c r="J35" s="45" t="s">
        <v>2260</v>
      </c>
      <c r="K35" s="105">
        <v>21.21</v>
      </c>
      <c r="L35" s="47">
        <v>23.56</v>
      </c>
      <c r="M35" s="47">
        <v>23.56</v>
      </c>
      <c r="N35" s="49">
        <v>23.55</v>
      </c>
      <c r="O35" s="49">
        <v>23.55</v>
      </c>
      <c r="P35" s="49">
        <v>23.13</v>
      </c>
      <c r="Q35" s="49">
        <v>23.13</v>
      </c>
      <c r="R35" s="49">
        <v>21.22</v>
      </c>
      <c r="S35" s="49">
        <v>0</v>
      </c>
      <c r="T35" s="49">
        <v>21.21</v>
      </c>
      <c r="U35" s="49">
        <v>0</v>
      </c>
      <c r="V35" s="106">
        <f>+Q35</f>
        <v>23.13</v>
      </c>
      <c r="W35" s="51">
        <f>+K35/Q35</f>
        <v>0.91699092088197154</v>
      </c>
      <c r="X35" s="52">
        <v>23.55</v>
      </c>
      <c r="Y35" s="52"/>
      <c r="Z35" s="52"/>
      <c r="AA35" s="81">
        <v>23.55</v>
      </c>
      <c r="AB35" s="81"/>
      <c r="AC35" s="81"/>
      <c r="AD35" s="81">
        <v>23.13</v>
      </c>
      <c r="AE35" s="81"/>
      <c r="AF35" s="81"/>
      <c r="AG35" s="81">
        <v>23.13</v>
      </c>
      <c r="AH35" s="81"/>
      <c r="AI35" s="81"/>
      <c r="AJ35" s="85">
        <f>+AD35</f>
        <v>23.13</v>
      </c>
      <c r="AK35" s="55">
        <f>+P35/AJ35</f>
        <v>1</v>
      </c>
      <c r="AL35" s="45" t="s">
        <v>2544</v>
      </c>
      <c r="AM35" s="45" t="s">
        <v>2485</v>
      </c>
      <c r="AN35" s="45" t="s">
        <v>2494</v>
      </c>
      <c r="AO35" s="102">
        <v>1437</v>
      </c>
      <c r="AP35" s="102">
        <v>1321</v>
      </c>
      <c r="AQ35" s="87">
        <v>2758275200</v>
      </c>
      <c r="AR35" s="88">
        <v>2700192005</v>
      </c>
      <c r="AS35" s="194">
        <v>3371455387</v>
      </c>
      <c r="AT35" s="194">
        <v>3341821932</v>
      </c>
    </row>
    <row r="36" spans="1:46" s="60" customFormat="1" ht="31.5" customHeight="1" x14ac:dyDescent="0.2">
      <c r="A36" s="42"/>
      <c r="B36" s="43"/>
      <c r="C36" s="186" t="s">
        <v>2271</v>
      </c>
      <c r="D36" s="62" t="s">
        <v>2425</v>
      </c>
      <c r="E36" s="186" t="s">
        <v>2392</v>
      </c>
      <c r="F36" s="44" t="s">
        <v>2440</v>
      </c>
      <c r="G36" s="44" t="s">
        <v>2320</v>
      </c>
      <c r="H36" s="44" t="s">
        <v>2441</v>
      </c>
      <c r="I36" s="44" t="s">
        <v>2235</v>
      </c>
      <c r="J36" s="45" t="s">
        <v>2261</v>
      </c>
      <c r="K36" s="105">
        <v>100</v>
      </c>
      <c r="L36" s="47">
        <v>5</v>
      </c>
      <c r="M36" s="47">
        <v>5</v>
      </c>
      <c r="N36" s="49">
        <v>30</v>
      </c>
      <c r="O36" s="49">
        <v>30</v>
      </c>
      <c r="P36" s="49">
        <v>30</v>
      </c>
      <c r="Q36" s="64">
        <v>30</v>
      </c>
      <c r="R36" s="64">
        <v>30</v>
      </c>
      <c r="S36" s="49">
        <v>0</v>
      </c>
      <c r="T36" s="64">
        <v>5</v>
      </c>
      <c r="U36" s="49">
        <v>0</v>
      </c>
      <c r="V36" s="91">
        <f>M36+O36+Q36</f>
        <v>65</v>
      </c>
      <c r="W36" s="107">
        <f>+V36/K36</f>
        <v>0.65</v>
      </c>
      <c r="X36" s="52">
        <v>15.75</v>
      </c>
      <c r="Y36" s="52"/>
      <c r="Z36" s="52"/>
      <c r="AA36" s="53">
        <v>21.05</v>
      </c>
      <c r="AB36" s="53"/>
      <c r="AC36" s="53"/>
      <c r="AD36" s="61">
        <v>26.3</v>
      </c>
      <c r="AE36" s="61"/>
      <c r="AF36" s="61"/>
      <c r="AG36" s="61">
        <v>30</v>
      </c>
      <c r="AH36" s="61"/>
      <c r="AI36" s="61"/>
      <c r="AJ36" s="85">
        <f>MAX(X36:AI36)</f>
        <v>30</v>
      </c>
      <c r="AK36" s="55">
        <f>AJ36/N36</f>
        <v>1</v>
      </c>
      <c r="AL36" s="56" t="s">
        <v>2517</v>
      </c>
      <c r="AM36" s="56" t="s">
        <v>2516</v>
      </c>
      <c r="AN36" s="56" t="s">
        <v>2518</v>
      </c>
      <c r="AO36" s="86">
        <v>282</v>
      </c>
      <c r="AP36" s="86">
        <v>282</v>
      </c>
      <c r="AQ36" s="87">
        <v>1201581805</v>
      </c>
      <c r="AR36" s="88">
        <v>1201581805</v>
      </c>
      <c r="AS36" s="196">
        <v>1634217123</v>
      </c>
      <c r="AT36" s="196">
        <v>1617490654</v>
      </c>
    </row>
    <row r="37" spans="1:46" s="60" customFormat="1" ht="31.5" customHeight="1" x14ac:dyDescent="0.2">
      <c r="A37" s="42"/>
      <c r="B37" s="43"/>
      <c r="C37" s="186" t="s">
        <v>2271</v>
      </c>
      <c r="D37" s="62"/>
      <c r="E37" s="186" t="s">
        <v>2392</v>
      </c>
      <c r="F37" s="44" t="s">
        <v>2319</v>
      </c>
      <c r="G37" s="44" t="s">
        <v>2320</v>
      </c>
      <c r="H37" s="44" t="s">
        <v>2354</v>
      </c>
      <c r="I37" s="44" t="s">
        <v>2236</v>
      </c>
      <c r="J37" s="45" t="s">
        <v>2259</v>
      </c>
      <c r="K37" s="105">
        <v>82.5</v>
      </c>
      <c r="L37" s="49">
        <v>79</v>
      </c>
      <c r="M37" s="47">
        <v>78.959999999999994</v>
      </c>
      <c r="N37" s="49">
        <v>79.3</v>
      </c>
      <c r="O37" s="49">
        <v>88.05</v>
      </c>
      <c r="P37" s="49">
        <v>79.5</v>
      </c>
      <c r="Q37" s="64">
        <v>88.25</v>
      </c>
      <c r="R37" s="64">
        <v>80.5</v>
      </c>
      <c r="S37" s="49">
        <v>0</v>
      </c>
      <c r="T37" s="64">
        <v>82.5</v>
      </c>
      <c r="U37" s="49">
        <v>0</v>
      </c>
      <c r="V37" s="91">
        <f>Q37</f>
        <v>88.25</v>
      </c>
      <c r="W37" s="51">
        <f>(Q37)/T37</f>
        <v>1.0696969696969696</v>
      </c>
      <c r="X37" s="52">
        <v>88.83</v>
      </c>
      <c r="Y37" s="52"/>
      <c r="Z37" s="52"/>
      <c r="AA37" s="53">
        <v>88.72</v>
      </c>
      <c r="AB37" s="53"/>
      <c r="AC37" s="53"/>
      <c r="AD37" s="61">
        <v>88.59</v>
      </c>
      <c r="AE37" s="61"/>
      <c r="AF37" s="61"/>
      <c r="AG37" s="61">
        <v>0</v>
      </c>
      <c r="AH37" s="61"/>
      <c r="AI37" s="61"/>
      <c r="AJ37" s="85">
        <v>88.25</v>
      </c>
      <c r="AK37" s="55">
        <f>AJ37/P37</f>
        <v>1.1100628930817611</v>
      </c>
      <c r="AL37" s="56"/>
      <c r="AM37" s="56"/>
      <c r="AN37" s="56"/>
      <c r="AO37" s="86">
        <v>8998</v>
      </c>
      <c r="AP37" s="86">
        <v>8336</v>
      </c>
      <c r="AQ37" s="87">
        <v>16864096176</v>
      </c>
      <c r="AR37" s="88">
        <v>16757675899</v>
      </c>
      <c r="AS37" s="196">
        <v>31791534188</v>
      </c>
      <c r="AT37" s="196">
        <v>31512642898</v>
      </c>
    </row>
    <row r="38" spans="1:46" s="60" customFormat="1" ht="31.5" customHeight="1" x14ac:dyDescent="0.2">
      <c r="A38" s="42"/>
      <c r="B38" s="43"/>
      <c r="C38" s="44" t="s">
        <v>2271</v>
      </c>
      <c r="D38" s="44" t="s">
        <v>2425</v>
      </c>
      <c r="E38" s="44" t="s">
        <v>2392</v>
      </c>
      <c r="F38" s="44" t="s">
        <v>2386</v>
      </c>
      <c r="G38" s="44" t="s">
        <v>2385</v>
      </c>
      <c r="H38" s="44" t="s">
        <v>2387</v>
      </c>
      <c r="I38" s="44" t="s">
        <v>2236</v>
      </c>
      <c r="J38" s="45" t="s">
        <v>2260</v>
      </c>
      <c r="K38" s="105">
        <v>2</v>
      </c>
      <c r="L38" s="49">
        <v>15.35</v>
      </c>
      <c r="M38" s="47">
        <v>15.36</v>
      </c>
      <c r="N38" s="49">
        <v>15.34</v>
      </c>
      <c r="O38" s="47">
        <v>9.9700000000000006</v>
      </c>
      <c r="P38" s="49">
        <v>15.33</v>
      </c>
      <c r="Q38" s="49">
        <v>28.51</v>
      </c>
      <c r="R38" s="49">
        <v>13.37</v>
      </c>
      <c r="S38" s="49">
        <v>0</v>
      </c>
      <c r="T38" s="49">
        <v>13.36</v>
      </c>
      <c r="U38" s="49">
        <v>0</v>
      </c>
      <c r="V38" s="106">
        <f>+Q38</f>
        <v>28.51</v>
      </c>
      <c r="W38" s="51">
        <f>13.36/Q38</f>
        <v>0.46860750613819707</v>
      </c>
      <c r="X38" s="108">
        <v>9.9700000000000006</v>
      </c>
      <c r="Y38" s="108"/>
      <c r="Z38" s="108"/>
      <c r="AA38" s="81">
        <v>15.36</v>
      </c>
      <c r="AB38" s="81"/>
      <c r="AC38" s="81"/>
      <c r="AD38" s="100">
        <v>29.66</v>
      </c>
      <c r="AE38" s="100"/>
      <c r="AF38" s="100"/>
      <c r="AG38" s="81">
        <v>28.51</v>
      </c>
      <c r="AH38" s="81"/>
      <c r="AI38" s="81"/>
      <c r="AJ38" s="85">
        <f>AG38</f>
        <v>28.51</v>
      </c>
      <c r="AK38" s="55">
        <f>+P38/AJ38</f>
        <v>0.5377060680462995</v>
      </c>
      <c r="AL38" s="45" t="s">
        <v>2571</v>
      </c>
      <c r="AM38" s="45" t="s">
        <v>2570</v>
      </c>
      <c r="AN38" s="45" t="s">
        <v>2572</v>
      </c>
      <c r="AO38" s="102">
        <v>9219</v>
      </c>
      <c r="AP38" s="102">
        <v>9219</v>
      </c>
      <c r="AQ38" s="87">
        <v>14049436000</v>
      </c>
      <c r="AR38" s="88">
        <v>14046951937</v>
      </c>
      <c r="AS38" s="194">
        <v>16168500874</v>
      </c>
      <c r="AT38" s="194">
        <v>16063453734</v>
      </c>
    </row>
    <row r="39" spans="1:46" s="60" customFormat="1" ht="31.5" customHeight="1" x14ac:dyDescent="0.2">
      <c r="A39" s="42"/>
      <c r="B39" s="43"/>
      <c r="C39" s="186" t="s">
        <v>2271</v>
      </c>
      <c r="D39" s="186" t="s">
        <v>2425</v>
      </c>
      <c r="E39" s="186" t="s">
        <v>2392</v>
      </c>
      <c r="F39" s="79" t="s">
        <v>2438</v>
      </c>
      <c r="G39" s="44" t="s">
        <v>2316</v>
      </c>
      <c r="H39" s="44" t="s">
        <v>2439</v>
      </c>
      <c r="I39" s="44" t="s">
        <v>2235</v>
      </c>
      <c r="J39" s="45" t="s">
        <v>2261</v>
      </c>
      <c r="K39" s="105">
        <v>100</v>
      </c>
      <c r="L39" s="49">
        <v>5</v>
      </c>
      <c r="M39" s="47">
        <v>5</v>
      </c>
      <c r="N39" s="49">
        <v>30</v>
      </c>
      <c r="O39" s="49">
        <v>30</v>
      </c>
      <c r="P39" s="49">
        <v>22.5</v>
      </c>
      <c r="Q39" s="49">
        <v>22.5</v>
      </c>
      <c r="R39" s="49">
        <v>35</v>
      </c>
      <c r="S39" s="49">
        <v>0</v>
      </c>
      <c r="T39" s="49">
        <v>7.5</v>
      </c>
      <c r="U39" s="49">
        <v>0</v>
      </c>
      <c r="V39" s="106">
        <f>+M39+O39+Q39</f>
        <v>57.5</v>
      </c>
      <c r="W39" s="51">
        <f>+V39/K39</f>
        <v>0.57499999999999996</v>
      </c>
      <c r="X39" s="109">
        <v>7.75</v>
      </c>
      <c r="Y39" s="109"/>
      <c r="Z39" s="109"/>
      <c r="AA39" s="53">
        <v>9.25</v>
      </c>
      <c r="AB39" s="53"/>
      <c r="AC39" s="53"/>
      <c r="AD39" s="61">
        <v>15</v>
      </c>
      <c r="AE39" s="61"/>
      <c r="AF39" s="61"/>
      <c r="AG39" s="89">
        <v>22.5</v>
      </c>
      <c r="AH39" s="89"/>
      <c r="AI39" s="89"/>
      <c r="AJ39" s="110">
        <v>22.5</v>
      </c>
      <c r="AK39" s="55">
        <f>+AJ39/P39</f>
        <v>1</v>
      </c>
      <c r="AL39" s="65" t="s">
        <v>2515</v>
      </c>
      <c r="AM39" s="56" t="s">
        <v>2485</v>
      </c>
      <c r="AN39" s="56" t="s">
        <v>2516</v>
      </c>
      <c r="AO39" s="86">
        <v>68</v>
      </c>
      <c r="AP39" s="86">
        <v>68</v>
      </c>
      <c r="AQ39" s="87">
        <v>3639934366</v>
      </c>
      <c r="AR39" s="88">
        <v>3630067523</v>
      </c>
      <c r="AS39" s="197">
        <v>1561266375</v>
      </c>
      <c r="AT39" s="197">
        <v>1553026375</v>
      </c>
    </row>
    <row r="40" spans="1:46" s="60" customFormat="1" ht="31.5" customHeight="1" x14ac:dyDescent="0.2">
      <c r="A40" s="42"/>
      <c r="B40" s="43"/>
      <c r="C40" s="186" t="s">
        <v>2271</v>
      </c>
      <c r="D40" s="186" t="s">
        <v>2425</v>
      </c>
      <c r="E40" s="186" t="s">
        <v>2392</v>
      </c>
      <c r="F40" s="44" t="s">
        <v>2318</v>
      </c>
      <c r="G40" s="44" t="s">
        <v>2316</v>
      </c>
      <c r="H40" s="44" t="s">
        <v>2317</v>
      </c>
      <c r="I40" s="44" t="s">
        <v>2236</v>
      </c>
      <c r="J40" s="45" t="s">
        <v>2259</v>
      </c>
      <c r="K40" s="105">
        <v>166954</v>
      </c>
      <c r="L40" s="49">
        <v>66781</v>
      </c>
      <c r="M40" s="111">
        <v>45078</v>
      </c>
      <c r="N40" s="49">
        <v>127700</v>
      </c>
      <c r="O40" s="49">
        <v>130485</v>
      </c>
      <c r="P40" s="49">
        <v>166954</v>
      </c>
      <c r="Q40" s="49">
        <v>191367</v>
      </c>
      <c r="R40" s="49">
        <v>166954</v>
      </c>
      <c r="S40" s="49">
        <v>0</v>
      </c>
      <c r="T40" s="49">
        <v>166954</v>
      </c>
      <c r="U40" s="49">
        <v>0</v>
      </c>
      <c r="V40" s="49">
        <v>189177</v>
      </c>
      <c r="W40" s="51">
        <f>+V40/K40</f>
        <v>1.1331085209099512</v>
      </c>
      <c r="X40" s="109">
        <v>148614</v>
      </c>
      <c r="Y40" s="109"/>
      <c r="Z40" s="109"/>
      <c r="AA40" s="61">
        <v>163435</v>
      </c>
      <c r="AB40" s="61"/>
      <c r="AC40" s="61"/>
      <c r="AD40" s="61">
        <v>166954</v>
      </c>
      <c r="AE40" s="61"/>
      <c r="AF40" s="61"/>
      <c r="AG40" s="61">
        <v>191367</v>
      </c>
      <c r="AH40" s="61"/>
      <c r="AI40" s="61"/>
      <c r="AJ40" s="102">
        <v>191367</v>
      </c>
      <c r="AK40" s="55">
        <f>+AJ40/P40</f>
        <v>1.1462259065371301</v>
      </c>
      <c r="AL40" s="65"/>
      <c r="AM40" s="56"/>
      <c r="AN40" s="56"/>
      <c r="AO40" s="86">
        <v>1030671</v>
      </c>
      <c r="AP40" s="86">
        <v>1026879</v>
      </c>
      <c r="AQ40" s="87">
        <v>2922611642847</v>
      </c>
      <c r="AR40" s="88">
        <v>2728214536872</v>
      </c>
      <c r="AS40" s="197">
        <v>2778585527877</v>
      </c>
      <c r="AT40" s="197">
        <v>2776175479531</v>
      </c>
    </row>
    <row r="41" spans="1:46" s="60" customFormat="1" ht="31.5" customHeight="1" x14ac:dyDescent="0.2">
      <c r="A41" s="42"/>
      <c r="B41" s="43"/>
      <c r="C41" s="186" t="s">
        <v>2272</v>
      </c>
      <c r="D41" s="186" t="s">
        <v>2425</v>
      </c>
      <c r="E41" s="186" t="s">
        <v>2392</v>
      </c>
      <c r="F41" s="44" t="s">
        <v>2442</v>
      </c>
      <c r="G41" s="44" t="s">
        <v>2346</v>
      </c>
      <c r="H41" s="44" t="s">
        <v>2443</v>
      </c>
      <c r="I41" s="44" t="s">
        <v>2269</v>
      </c>
      <c r="J41" s="45" t="s">
        <v>2259</v>
      </c>
      <c r="K41" s="72">
        <f>+T41</f>
        <v>60</v>
      </c>
      <c r="L41" s="49">
        <v>0</v>
      </c>
      <c r="M41" s="47">
        <v>0</v>
      </c>
      <c r="N41" s="49">
        <v>0</v>
      </c>
      <c r="O41" s="49">
        <v>0</v>
      </c>
      <c r="P41" s="49">
        <v>10</v>
      </c>
      <c r="Q41" s="49">
        <v>0</v>
      </c>
      <c r="R41" s="49">
        <v>50</v>
      </c>
      <c r="S41" s="49">
        <v>0</v>
      </c>
      <c r="T41" s="49">
        <v>60</v>
      </c>
      <c r="U41" s="49">
        <v>0</v>
      </c>
      <c r="V41" s="106">
        <v>0</v>
      </c>
      <c r="W41" s="99">
        <v>0</v>
      </c>
      <c r="X41" s="61">
        <v>0</v>
      </c>
      <c r="Y41" s="61"/>
      <c r="Z41" s="61"/>
      <c r="AA41" s="61">
        <v>0</v>
      </c>
      <c r="AB41" s="61"/>
      <c r="AC41" s="61"/>
      <c r="AD41" s="61">
        <v>0</v>
      </c>
      <c r="AE41" s="61"/>
      <c r="AF41" s="61"/>
      <c r="AG41" s="61">
        <v>0</v>
      </c>
      <c r="AH41" s="61"/>
      <c r="AI41" s="61"/>
      <c r="AJ41" s="112">
        <v>0</v>
      </c>
      <c r="AK41" s="112">
        <v>0</v>
      </c>
      <c r="AL41" s="56" t="s">
        <v>2519</v>
      </c>
      <c r="AM41" s="56" t="s">
        <v>2486</v>
      </c>
      <c r="AN41" s="56" t="s">
        <v>2520</v>
      </c>
      <c r="AO41" s="57">
        <v>9295</v>
      </c>
      <c r="AP41" s="57">
        <v>8898</v>
      </c>
      <c r="AQ41" s="96">
        <v>3066203769</v>
      </c>
      <c r="AR41" s="97">
        <v>3066203769</v>
      </c>
      <c r="AS41" s="136">
        <v>214005433370</v>
      </c>
      <c r="AT41" s="136">
        <v>72767971401</v>
      </c>
    </row>
    <row r="42" spans="1:46" s="60" customFormat="1" ht="31.5" customHeight="1" x14ac:dyDescent="0.2">
      <c r="A42" s="42"/>
      <c r="B42" s="43"/>
      <c r="C42" s="186" t="s">
        <v>2272</v>
      </c>
      <c r="D42" s="186" t="s">
        <v>2425</v>
      </c>
      <c r="E42" s="186" t="s">
        <v>2392</v>
      </c>
      <c r="F42" s="44" t="s">
        <v>2345</v>
      </c>
      <c r="G42" s="44" t="s">
        <v>2346</v>
      </c>
      <c r="H42" s="44" t="s">
        <v>2347</v>
      </c>
      <c r="I42" s="44" t="s">
        <v>2269</v>
      </c>
      <c r="J42" s="45" t="s">
        <v>2261</v>
      </c>
      <c r="K42" s="72">
        <f>+L42+N42+P42+R42+T42</f>
        <v>2</v>
      </c>
      <c r="L42" s="49">
        <v>0</v>
      </c>
      <c r="M42" s="47">
        <f t="shared" ref="M42" si="6">AD42+AG42</f>
        <v>0</v>
      </c>
      <c r="N42" s="49">
        <v>0</v>
      </c>
      <c r="O42" s="49">
        <v>0</v>
      </c>
      <c r="P42" s="49">
        <v>2</v>
      </c>
      <c r="Q42" s="49">
        <v>0</v>
      </c>
      <c r="R42" s="49">
        <v>0</v>
      </c>
      <c r="S42" s="49">
        <v>0</v>
      </c>
      <c r="T42" s="49">
        <v>0</v>
      </c>
      <c r="U42" s="49">
        <v>0</v>
      </c>
      <c r="V42" s="73">
        <v>0</v>
      </c>
      <c r="W42" s="51">
        <f>IFERROR(O42/V42,0)</f>
        <v>0</v>
      </c>
      <c r="X42" s="61">
        <v>0</v>
      </c>
      <c r="Y42" s="61"/>
      <c r="Z42" s="61"/>
      <c r="AA42" s="61">
        <v>0</v>
      </c>
      <c r="AB42" s="61"/>
      <c r="AC42" s="61"/>
      <c r="AD42" s="61">
        <v>0</v>
      </c>
      <c r="AE42" s="61"/>
      <c r="AF42" s="61"/>
      <c r="AG42" s="61">
        <v>0</v>
      </c>
      <c r="AH42" s="61"/>
      <c r="AI42" s="61"/>
      <c r="AJ42" s="112">
        <v>0</v>
      </c>
      <c r="AK42" s="112">
        <v>0</v>
      </c>
      <c r="AL42" s="56"/>
      <c r="AM42" s="56"/>
      <c r="AN42" s="56"/>
      <c r="AO42" s="57"/>
      <c r="AP42" s="57"/>
      <c r="AQ42" s="96"/>
      <c r="AR42" s="97"/>
      <c r="AS42" s="136"/>
      <c r="AT42" s="136"/>
    </row>
    <row r="43" spans="1:46" s="60" customFormat="1" ht="31.5" customHeight="1" x14ac:dyDescent="0.2">
      <c r="A43" s="42"/>
      <c r="B43" s="43"/>
      <c r="C43" s="44" t="s">
        <v>2410</v>
      </c>
      <c r="D43" s="44" t="s">
        <v>2425</v>
      </c>
      <c r="E43" s="186" t="s">
        <v>2392</v>
      </c>
      <c r="F43" s="44" t="s">
        <v>2413</v>
      </c>
      <c r="G43" s="44" t="s">
        <v>2411</v>
      </c>
      <c r="H43" s="44" t="s">
        <v>2412</v>
      </c>
      <c r="I43" s="44" t="s">
        <v>2235</v>
      </c>
      <c r="J43" s="45" t="s">
        <v>2261</v>
      </c>
      <c r="K43" s="72">
        <f>+L43+N43+P43+R43+T43</f>
        <v>364000</v>
      </c>
      <c r="L43" s="49">
        <v>2900</v>
      </c>
      <c r="M43" s="47">
        <v>2935</v>
      </c>
      <c r="N43" s="49">
        <v>67132</v>
      </c>
      <c r="O43" s="49">
        <v>67132</v>
      </c>
      <c r="P43" s="49">
        <v>136926</v>
      </c>
      <c r="Q43" s="49">
        <v>136926</v>
      </c>
      <c r="R43" s="49">
        <v>129782</v>
      </c>
      <c r="S43" s="49">
        <v>0</v>
      </c>
      <c r="T43" s="49">
        <v>27260</v>
      </c>
      <c r="U43" s="49">
        <v>0</v>
      </c>
      <c r="V43" s="106">
        <f>+M43+O43+Q43</f>
        <v>206993</v>
      </c>
      <c r="W43" s="51">
        <f t="shared" ref="W43:W59" si="7">+V43/K43</f>
        <v>0.56866208791208794</v>
      </c>
      <c r="X43" s="109">
        <v>44807</v>
      </c>
      <c r="Y43" s="109"/>
      <c r="Z43" s="109"/>
      <c r="AA43" s="113">
        <v>79078</v>
      </c>
      <c r="AB43" s="114"/>
      <c r="AC43" s="115"/>
      <c r="AD43" s="113">
        <v>105695</v>
      </c>
      <c r="AE43" s="114"/>
      <c r="AF43" s="115"/>
      <c r="AG43" s="61">
        <v>136926</v>
      </c>
      <c r="AH43" s="61"/>
      <c r="AI43" s="61"/>
      <c r="AJ43" s="85">
        <f>AG43</f>
        <v>136926</v>
      </c>
      <c r="AK43" s="55">
        <f>+AJ43/P43</f>
        <v>1</v>
      </c>
      <c r="AL43" s="79" t="s">
        <v>2527</v>
      </c>
      <c r="AM43" s="79" t="s">
        <v>2526</v>
      </c>
      <c r="AN43" s="79" t="s">
        <v>2528</v>
      </c>
      <c r="AO43" s="86">
        <v>631</v>
      </c>
      <c r="AP43" s="86">
        <v>298</v>
      </c>
      <c r="AQ43" s="87">
        <v>13089983885</v>
      </c>
      <c r="AR43" s="88">
        <v>13084853885</v>
      </c>
      <c r="AS43" s="194">
        <v>5902966100</v>
      </c>
      <c r="AT43" s="194">
        <v>5858374869</v>
      </c>
    </row>
    <row r="44" spans="1:46" s="60" customFormat="1" ht="31.5" customHeight="1" x14ac:dyDescent="0.2">
      <c r="A44" s="42"/>
      <c r="B44" s="43"/>
      <c r="C44" s="186" t="s">
        <v>2394</v>
      </c>
      <c r="D44" s="186" t="s">
        <v>2425</v>
      </c>
      <c r="E44" s="186" t="s">
        <v>2392</v>
      </c>
      <c r="F44" s="44" t="s">
        <v>2337</v>
      </c>
      <c r="G44" s="44" t="s">
        <v>2338</v>
      </c>
      <c r="H44" s="44" t="s">
        <v>2339</v>
      </c>
      <c r="I44" s="44" t="s">
        <v>2269</v>
      </c>
      <c r="J44" s="45" t="s">
        <v>2261</v>
      </c>
      <c r="K44" s="72">
        <f>+L44+N44+P44+R44+T44</f>
        <v>20.010000000000002</v>
      </c>
      <c r="L44" s="49">
        <v>0</v>
      </c>
      <c r="M44" s="47">
        <f t="shared" ref="M44" si="8">AD44+AG44</f>
        <v>0</v>
      </c>
      <c r="N44" s="49">
        <v>0.01</v>
      </c>
      <c r="O44" s="49">
        <v>0</v>
      </c>
      <c r="P44" s="49">
        <v>0</v>
      </c>
      <c r="Q44" s="49">
        <v>0</v>
      </c>
      <c r="R44" s="49">
        <v>0</v>
      </c>
      <c r="S44" s="49">
        <v>0</v>
      </c>
      <c r="T44" s="49">
        <v>20</v>
      </c>
      <c r="U44" s="49">
        <v>0</v>
      </c>
      <c r="V44" s="106">
        <f>+M44+O44+Q44</f>
        <v>0</v>
      </c>
      <c r="W44" s="51">
        <f t="shared" si="7"/>
        <v>0</v>
      </c>
      <c r="X44" s="109">
        <v>0</v>
      </c>
      <c r="Y44" s="109"/>
      <c r="Z44" s="109"/>
      <c r="AA44" s="100">
        <v>0</v>
      </c>
      <c r="AB44" s="100"/>
      <c r="AC44" s="100"/>
      <c r="AD44" s="100">
        <v>0</v>
      </c>
      <c r="AE44" s="100"/>
      <c r="AF44" s="100"/>
      <c r="AG44" s="100">
        <v>0</v>
      </c>
      <c r="AH44" s="100"/>
      <c r="AI44" s="100"/>
      <c r="AJ44" s="85">
        <f>+AD44</f>
        <v>0</v>
      </c>
      <c r="AK44" s="75">
        <v>0</v>
      </c>
      <c r="AL44" s="56" t="s">
        <v>2568</v>
      </c>
      <c r="AM44" s="56" t="s">
        <v>2485</v>
      </c>
      <c r="AN44" s="56" t="s">
        <v>2569</v>
      </c>
      <c r="AO44" s="102">
        <v>0</v>
      </c>
      <c r="AP44" s="102">
        <v>0</v>
      </c>
      <c r="AQ44" s="87">
        <v>0</v>
      </c>
      <c r="AR44" s="88">
        <v>0</v>
      </c>
      <c r="AS44" s="104">
        <v>0</v>
      </c>
      <c r="AT44" s="104">
        <v>0</v>
      </c>
    </row>
    <row r="45" spans="1:46" s="60" customFormat="1" ht="31.5" customHeight="1" x14ac:dyDescent="0.2">
      <c r="A45" s="42"/>
      <c r="B45" s="43"/>
      <c r="C45" s="186" t="s">
        <v>2394</v>
      </c>
      <c r="D45" s="186" t="s">
        <v>2425</v>
      </c>
      <c r="E45" s="186" t="s">
        <v>2392</v>
      </c>
      <c r="F45" s="44" t="s">
        <v>2451</v>
      </c>
      <c r="G45" s="44" t="s">
        <v>2338</v>
      </c>
      <c r="H45" s="44" t="s">
        <v>2415</v>
      </c>
      <c r="I45" s="44" t="s">
        <v>2236</v>
      </c>
      <c r="J45" s="45" t="s">
        <v>2258</v>
      </c>
      <c r="K45" s="105">
        <v>100</v>
      </c>
      <c r="L45" s="49">
        <v>100</v>
      </c>
      <c r="M45" s="47">
        <v>100</v>
      </c>
      <c r="N45" s="49">
        <v>100</v>
      </c>
      <c r="O45" s="49">
        <v>100</v>
      </c>
      <c r="P45" s="49">
        <v>100</v>
      </c>
      <c r="Q45" s="49">
        <v>100</v>
      </c>
      <c r="R45" s="49">
        <v>100</v>
      </c>
      <c r="S45" s="49">
        <v>0</v>
      </c>
      <c r="T45" s="49">
        <v>100</v>
      </c>
      <c r="U45" s="49">
        <v>0</v>
      </c>
      <c r="V45" s="50">
        <f>+AVERAGE(M45,O45,Q45,S45,U45)</f>
        <v>60</v>
      </c>
      <c r="W45" s="99">
        <f t="shared" si="7"/>
        <v>0.6</v>
      </c>
      <c r="X45" s="109">
        <v>25</v>
      </c>
      <c r="Y45" s="109"/>
      <c r="Z45" s="109"/>
      <c r="AA45" s="100">
        <v>25</v>
      </c>
      <c r="AB45" s="100"/>
      <c r="AC45" s="100"/>
      <c r="AD45" s="100">
        <v>25</v>
      </c>
      <c r="AE45" s="100"/>
      <c r="AF45" s="100"/>
      <c r="AG45" s="100">
        <v>0</v>
      </c>
      <c r="AH45" s="100"/>
      <c r="AI45" s="100"/>
      <c r="AJ45" s="85">
        <f t="shared" ref="AJ45" si="9">+X45+AA45+AD45+AG45</f>
        <v>75</v>
      </c>
      <c r="AK45" s="55">
        <f t="shared" ref="AK45" si="10">+AJ45/P45</f>
        <v>0.75</v>
      </c>
      <c r="AL45" s="56"/>
      <c r="AM45" s="56"/>
      <c r="AN45" s="56"/>
      <c r="AO45" s="102">
        <v>398</v>
      </c>
      <c r="AP45" s="102">
        <v>299</v>
      </c>
      <c r="AQ45" s="87">
        <v>25951236476</v>
      </c>
      <c r="AR45" s="88">
        <v>16017102861</v>
      </c>
      <c r="AS45" s="194">
        <v>89092900070</v>
      </c>
      <c r="AT45" s="194">
        <v>34291575715</v>
      </c>
    </row>
    <row r="46" spans="1:46" s="60" customFormat="1" ht="31.5" customHeight="1" x14ac:dyDescent="0.2">
      <c r="A46" s="42"/>
      <c r="B46" s="43"/>
      <c r="C46" s="186" t="s">
        <v>2272</v>
      </c>
      <c r="D46" s="186" t="s">
        <v>2425</v>
      </c>
      <c r="E46" s="186" t="s">
        <v>2392</v>
      </c>
      <c r="F46" s="44" t="s">
        <v>2333</v>
      </c>
      <c r="G46" s="44" t="s">
        <v>2334</v>
      </c>
      <c r="H46" s="44" t="s">
        <v>2335</v>
      </c>
      <c r="I46" s="44" t="s">
        <v>2414</v>
      </c>
      <c r="J46" s="45" t="s">
        <v>2261</v>
      </c>
      <c r="K46" s="72">
        <f>+M46+O46+Q46+R46+T46</f>
        <v>29.6</v>
      </c>
      <c r="L46" s="49">
        <v>1</v>
      </c>
      <c r="M46" s="47">
        <v>0</v>
      </c>
      <c r="N46" s="49">
        <v>0.01</v>
      </c>
      <c r="O46" s="49">
        <v>0</v>
      </c>
      <c r="P46" s="49">
        <v>25.37</v>
      </c>
      <c r="Q46" s="49">
        <v>4.2300000000000004</v>
      </c>
      <c r="R46" s="49">
        <v>0</v>
      </c>
      <c r="S46" s="49">
        <v>0</v>
      </c>
      <c r="T46" s="49">
        <v>25.37</v>
      </c>
      <c r="U46" s="49">
        <v>0</v>
      </c>
      <c r="V46" s="106">
        <f>+M46+O46+Q46+S46+U46</f>
        <v>4.2300000000000004</v>
      </c>
      <c r="W46" s="51">
        <f>+V46/K46</f>
        <v>0.14290540540540542</v>
      </c>
      <c r="X46" s="81">
        <v>0.85</v>
      </c>
      <c r="Y46" s="81"/>
      <c r="Z46" s="81"/>
      <c r="AA46" s="81">
        <f>1.14</f>
        <v>1.1399999999999999</v>
      </c>
      <c r="AB46" s="81"/>
      <c r="AC46" s="81"/>
      <c r="AD46" s="81">
        <f>2.46</f>
        <v>2.46</v>
      </c>
      <c r="AE46" s="81"/>
      <c r="AF46" s="81"/>
      <c r="AG46" s="81">
        <v>4.2300000000000004</v>
      </c>
      <c r="AH46" s="81"/>
      <c r="AI46" s="81"/>
      <c r="AJ46" s="116">
        <f>AG46</f>
        <v>4.2300000000000004</v>
      </c>
      <c r="AK46" s="117">
        <f t="shared" ref="AK46:AK56" si="11">+AJ46/P46</f>
        <v>0.1667323610563658</v>
      </c>
      <c r="AL46" s="56" t="s">
        <v>2566</v>
      </c>
      <c r="AM46" s="56" t="s">
        <v>2565</v>
      </c>
      <c r="AN46" s="56" t="s">
        <v>2567</v>
      </c>
      <c r="AO46" s="118">
        <v>47585</v>
      </c>
      <c r="AP46" s="118">
        <v>8400</v>
      </c>
      <c r="AQ46" s="96">
        <v>65113629417</v>
      </c>
      <c r="AR46" s="97">
        <v>53824445627</v>
      </c>
      <c r="AS46" s="193">
        <v>66217203043</v>
      </c>
      <c r="AT46" s="193">
        <v>63228104639</v>
      </c>
    </row>
    <row r="47" spans="1:46" s="60" customFormat="1" ht="31.5" customHeight="1" x14ac:dyDescent="0.2">
      <c r="A47" s="42"/>
      <c r="B47" s="43"/>
      <c r="C47" s="186" t="s">
        <v>2272</v>
      </c>
      <c r="D47" s="186" t="s">
        <v>2425</v>
      </c>
      <c r="E47" s="186" t="s">
        <v>2392</v>
      </c>
      <c r="F47" s="44" t="s">
        <v>2466</v>
      </c>
      <c r="G47" s="44" t="s">
        <v>2334</v>
      </c>
      <c r="H47" s="44" t="s">
        <v>2467</v>
      </c>
      <c r="I47" s="44" t="s">
        <v>2414</v>
      </c>
      <c r="J47" s="45" t="s">
        <v>2261</v>
      </c>
      <c r="K47" s="72">
        <f>+L47+N47+P47+R47+T47</f>
        <v>80</v>
      </c>
      <c r="L47" s="49">
        <v>0</v>
      </c>
      <c r="M47" s="47">
        <v>0</v>
      </c>
      <c r="N47" s="49">
        <v>4</v>
      </c>
      <c r="O47" s="49">
        <v>4</v>
      </c>
      <c r="P47" s="49">
        <v>19</v>
      </c>
      <c r="Q47" s="49">
        <v>18.91</v>
      </c>
      <c r="R47" s="49">
        <v>31</v>
      </c>
      <c r="S47" s="49">
        <v>0</v>
      </c>
      <c r="T47" s="49">
        <v>26</v>
      </c>
      <c r="U47" s="49">
        <v>0</v>
      </c>
      <c r="V47" s="106">
        <f>+M47+O47+Q47+S47+U47</f>
        <v>22.91</v>
      </c>
      <c r="W47" s="107">
        <f>+V47/K47</f>
        <v>0.28637499999999999</v>
      </c>
      <c r="X47" s="81">
        <v>2.62</v>
      </c>
      <c r="Y47" s="81"/>
      <c r="Z47" s="81"/>
      <c r="AA47" s="81">
        <f>7.7</f>
        <v>7.7</v>
      </c>
      <c r="AB47" s="81"/>
      <c r="AC47" s="81"/>
      <c r="AD47" s="81">
        <f>14</f>
        <v>14</v>
      </c>
      <c r="AE47" s="81"/>
      <c r="AF47" s="81"/>
      <c r="AG47" s="81">
        <v>18.91</v>
      </c>
      <c r="AH47" s="81"/>
      <c r="AI47" s="81"/>
      <c r="AJ47" s="116">
        <f>AG47</f>
        <v>18.91</v>
      </c>
      <c r="AK47" s="117">
        <f t="shared" si="11"/>
        <v>0.99526315789473685</v>
      </c>
      <c r="AL47" s="56"/>
      <c r="AM47" s="56"/>
      <c r="AN47" s="56"/>
      <c r="AO47" s="118"/>
      <c r="AP47" s="118"/>
      <c r="AQ47" s="96"/>
      <c r="AR47" s="97"/>
      <c r="AS47" s="193"/>
      <c r="AT47" s="193"/>
    </row>
    <row r="48" spans="1:46" s="60" customFormat="1" ht="31.5" customHeight="1" x14ac:dyDescent="0.2">
      <c r="A48" s="42"/>
      <c r="B48" s="43"/>
      <c r="C48" s="186" t="s">
        <v>2272</v>
      </c>
      <c r="D48" s="186" t="s">
        <v>2425</v>
      </c>
      <c r="E48" s="186" t="s">
        <v>2392</v>
      </c>
      <c r="F48" s="44" t="s">
        <v>2468</v>
      </c>
      <c r="G48" s="44" t="s">
        <v>2334</v>
      </c>
      <c r="H48" s="44" t="s">
        <v>2467</v>
      </c>
      <c r="I48" s="44" t="s">
        <v>2414</v>
      </c>
      <c r="J48" s="45" t="s">
        <v>2261</v>
      </c>
      <c r="K48" s="72">
        <v>100</v>
      </c>
      <c r="L48" s="49">
        <v>0</v>
      </c>
      <c r="M48" s="47">
        <v>0</v>
      </c>
      <c r="N48" s="49">
        <v>17.739999999999998</v>
      </c>
      <c r="O48" s="49">
        <v>17.739999999999998</v>
      </c>
      <c r="P48" s="49">
        <v>45</v>
      </c>
      <c r="Q48" s="49">
        <v>38.119999999999997</v>
      </c>
      <c r="R48" s="49">
        <v>37.26</v>
      </c>
      <c r="S48" s="49">
        <v>0</v>
      </c>
      <c r="T48" s="49">
        <v>0</v>
      </c>
      <c r="U48" s="49">
        <v>0</v>
      </c>
      <c r="V48" s="106">
        <f>+M48+O48+Q48+S48+U48</f>
        <v>55.86</v>
      </c>
      <c r="W48" s="107">
        <f>+V48/K48</f>
        <v>0.55859999999999999</v>
      </c>
      <c r="X48" s="81">
        <v>3.11</v>
      </c>
      <c r="Y48" s="81"/>
      <c r="Z48" s="81"/>
      <c r="AA48" s="81">
        <f>28</f>
        <v>28</v>
      </c>
      <c r="AB48" s="81"/>
      <c r="AC48" s="81"/>
      <c r="AD48" s="81">
        <f>34.31</f>
        <v>34.31</v>
      </c>
      <c r="AE48" s="81"/>
      <c r="AF48" s="81"/>
      <c r="AG48" s="81">
        <v>38.119999999999997</v>
      </c>
      <c r="AH48" s="81"/>
      <c r="AI48" s="81"/>
      <c r="AJ48" s="116">
        <f>AG48</f>
        <v>38.119999999999997</v>
      </c>
      <c r="AK48" s="117">
        <f t="shared" si="11"/>
        <v>0.84711111111111104</v>
      </c>
      <c r="AL48" s="56"/>
      <c r="AM48" s="56"/>
      <c r="AN48" s="56"/>
      <c r="AO48" s="118"/>
      <c r="AP48" s="118"/>
      <c r="AQ48" s="96"/>
      <c r="AR48" s="97"/>
      <c r="AS48" s="193"/>
      <c r="AT48" s="193"/>
    </row>
    <row r="49" spans="1:46" s="60" customFormat="1" ht="31.5" customHeight="1" x14ac:dyDescent="0.2">
      <c r="A49" s="42"/>
      <c r="B49" s="43"/>
      <c r="C49" s="186" t="s">
        <v>2272</v>
      </c>
      <c r="D49" s="186" t="s">
        <v>2425</v>
      </c>
      <c r="E49" s="186" t="s">
        <v>2392</v>
      </c>
      <c r="F49" s="44" t="s">
        <v>2469</v>
      </c>
      <c r="G49" s="44" t="s">
        <v>2334</v>
      </c>
      <c r="H49" s="44" t="s">
        <v>2467</v>
      </c>
      <c r="I49" s="44" t="s">
        <v>2414</v>
      </c>
      <c r="J49" s="45" t="s">
        <v>2261</v>
      </c>
      <c r="K49" s="72">
        <f>+L49+N49+P49+R49+T49</f>
        <v>100.00000000000001</v>
      </c>
      <c r="L49" s="49">
        <v>0</v>
      </c>
      <c r="M49" s="47">
        <v>0</v>
      </c>
      <c r="N49" s="49">
        <v>1.7</v>
      </c>
      <c r="O49" s="49">
        <v>1.7</v>
      </c>
      <c r="P49" s="49">
        <v>33.1</v>
      </c>
      <c r="Q49" s="49">
        <v>23.63</v>
      </c>
      <c r="R49" s="49">
        <v>41</v>
      </c>
      <c r="S49" s="49">
        <v>0</v>
      </c>
      <c r="T49" s="49">
        <v>24.2</v>
      </c>
      <c r="U49" s="49">
        <v>0</v>
      </c>
      <c r="V49" s="106">
        <f>+M49+O49+Q49+S49+U49</f>
        <v>25.33</v>
      </c>
      <c r="W49" s="107">
        <f>+V49/K49</f>
        <v>0.25329999999999997</v>
      </c>
      <c r="X49" s="81">
        <v>6.8</v>
      </c>
      <c r="Y49" s="81"/>
      <c r="Z49" s="81"/>
      <c r="AA49" s="81">
        <f>11</f>
        <v>11</v>
      </c>
      <c r="AB49" s="81"/>
      <c r="AC49" s="81"/>
      <c r="AD49" s="81">
        <f>13</f>
        <v>13</v>
      </c>
      <c r="AE49" s="81"/>
      <c r="AF49" s="81"/>
      <c r="AG49" s="81">
        <v>23.63</v>
      </c>
      <c r="AH49" s="81"/>
      <c r="AI49" s="81"/>
      <c r="AJ49" s="116">
        <f>AG49</f>
        <v>23.63</v>
      </c>
      <c r="AK49" s="117">
        <f t="shared" si="11"/>
        <v>0.7138972809667673</v>
      </c>
      <c r="AL49" s="56"/>
      <c r="AM49" s="56"/>
      <c r="AN49" s="56"/>
      <c r="AO49" s="118"/>
      <c r="AP49" s="118"/>
      <c r="AQ49" s="96"/>
      <c r="AR49" s="97"/>
      <c r="AS49" s="193"/>
      <c r="AT49" s="193"/>
    </row>
    <row r="50" spans="1:46" s="60" customFormat="1" ht="31.5" customHeight="1" x14ac:dyDescent="0.2">
      <c r="A50" s="42"/>
      <c r="B50" s="43"/>
      <c r="C50" s="186" t="s">
        <v>2272</v>
      </c>
      <c r="D50" s="186" t="s">
        <v>2425</v>
      </c>
      <c r="E50" s="186" t="s">
        <v>2392</v>
      </c>
      <c r="F50" s="44" t="s">
        <v>2450</v>
      </c>
      <c r="G50" s="44" t="s">
        <v>2334</v>
      </c>
      <c r="H50" s="44" t="s">
        <v>2416</v>
      </c>
      <c r="I50" s="44" t="s">
        <v>2236</v>
      </c>
      <c r="J50" s="45" t="s">
        <v>2258</v>
      </c>
      <c r="K50" s="105">
        <v>100</v>
      </c>
      <c r="L50" s="49">
        <v>100</v>
      </c>
      <c r="M50" s="47">
        <v>100</v>
      </c>
      <c r="N50" s="49">
        <v>100</v>
      </c>
      <c r="O50" s="49">
        <v>100</v>
      </c>
      <c r="P50" s="49">
        <v>100</v>
      </c>
      <c r="Q50" s="49">
        <v>100</v>
      </c>
      <c r="R50" s="49">
        <v>100</v>
      </c>
      <c r="S50" s="49">
        <v>0</v>
      </c>
      <c r="T50" s="49">
        <v>100</v>
      </c>
      <c r="U50" s="49">
        <v>0</v>
      </c>
      <c r="V50" s="50">
        <f>+AVERAGE(M50,O50,Q50,0,0)</f>
        <v>60</v>
      </c>
      <c r="W50" s="99">
        <f t="shared" ref="W50" si="12">+V50/K50</f>
        <v>0.6</v>
      </c>
      <c r="X50" s="109">
        <v>25</v>
      </c>
      <c r="Y50" s="109"/>
      <c r="Z50" s="109"/>
      <c r="AA50" s="100">
        <v>50</v>
      </c>
      <c r="AB50" s="100"/>
      <c r="AC50" s="100"/>
      <c r="AD50" s="100">
        <v>75</v>
      </c>
      <c r="AE50" s="100"/>
      <c r="AF50" s="100"/>
      <c r="AG50" s="100">
        <v>100</v>
      </c>
      <c r="AH50" s="100"/>
      <c r="AI50" s="100"/>
      <c r="AJ50" s="85">
        <f>AG50</f>
        <v>100</v>
      </c>
      <c r="AK50" s="117">
        <f t="shared" si="11"/>
        <v>1</v>
      </c>
      <c r="AL50" s="56"/>
      <c r="AM50" s="56"/>
      <c r="AN50" s="56"/>
      <c r="AO50" s="102">
        <v>644723</v>
      </c>
      <c r="AP50" s="102">
        <v>394467</v>
      </c>
      <c r="AQ50" s="87">
        <v>855361828169</v>
      </c>
      <c r="AR50" s="88">
        <v>724052670649</v>
      </c>
      <c r="AS50" s="194">
        <v>2000065523447</v>
      </c>
      <c r="AT50" s="194">
        <v>1870241530485</v>
      </c>
    </row>
    <row r="51" spans="1:46" s="60" customFormat="1" ht="31.5" customHeight="1" x14ac:dyDescent="0.2">
      <c r="A51" s="42"/>
      <c r="B51" s="43"/>
      <c r="C51" s="44" t="s">
        <v>2272</v>
      </c>
      <c r="D51" s="44" t="s">
        <v>2425</v>
      </c>
      <c r="E51" s="44" t="s">
        <v>2392</v>
      </c>
      <c r="F51" s="44" t="s">
        <v>2370</v>
      </c>
      <c r="G51" s="44" t="s">
        <v>2369</v>
      </c>
      <c r="H51" s="44" t="s">
        <v>2371</v>
      </c>
      <c r="I51" s="44" t="s">
        <v>2269</v>
      </c>
      <c r="J51" s="79" t="s">
        <v>2261</v>
      </c>
      <c r="K51" s="72">
        <f>+L51+N51+P51+R51+T51</f>
        <v>5001</v>
      </c>
      <c r="L51" s="119">
        <v>0</v>
      </c>
      <c r="M51" s="47">
        <v>0</v>
      </c>
      <c r="N51" s="49">
        <v>1614</v>
      </c>
      <c r="O51" s="49">
        <v>1613</v>
      </c>
      <c r="P51" s="49">
        <v>624</v>
      </c>
      <c r="Q51" s="49">
        <v>90</v>
      </c>
      <c r="R51" s="49">
        <v>2</v>
      </c>
      <c r="S51" s="49">
        <v>0</v>
      </c>
      <c r="T51" s="49">
        <v>2761</v>
      </c>
      <c r="U51" s="49">
        <v>0</v>
      </c>
      <c r="V51" s="80">
        <f>+M51+O51+Q51+S51+U51</f>
        <v>1703</v>
      </c>
      <c r="W51" s="51">
        <f t="shared" si="7"/>
        <v>0.34053189362127573</v>
      </c>
      <c r="X51" s="109">
        <v>72</v>
      </c>
      <c r="Y51" s="109"/>
      <c r="Z51" s="109"/>
      <c r="AA51" s="100">
        <v>90</v>
      </c>
      <c r="AB51" s="100"/>
      <c r="AC51" s="100"/>
      <c r="AD51" s="100">
        <v>90</v>
      </c>
      <c r="AE51" s="100"/>
      <c r="AF51" s="100"/>
      <c r="AG51" s="100">
        <v>90</v>
      </c>
      <c r="AH51" s="100"/>
      <c r="AI51" s="100"/>
      <c r="AJ51" s="85">
        <f>AG51</f>
        <v>90</v>
      </c>
      <c r="AK51" s="55">
        <f>+AJ51/P51</f>
        <v>0.14423076923076922</v>
      </c>
      <c r="AL51" s="56" t="s">
        <v>2548</v>
      </c>
      <c r="AM51" s="56" t="s">
        <v>2547</v>
      </c>
      <c r="AN51" s="56" t="s">
        <v>2549</v>
      </c>
      <c r="AO51" s="102">
        <v>0</v>
      </c>
      <c r="AP51" s="102">
        <v>0</v>
      </c>
      <c r="AQ51" s="102">
        <v>0</v>
      </c>
      <c r="AR51" s="120">
        <v>0</v>
      </c>
      <c r="AS51" s="104">
        <v>5591943201</v>
      </c>
      <c r="AT51" s="104">
        <v>4318023629</v>
      </c>
    </row>
    <row r="52" spans="1:46" s="60" customFormat="1" ht="31.5" customHeight="1" x14ac:dyDescent="0.2">
      <c r="A52" s="42"/>
      <c r="B52" s="43"/>
      <c r="C52" s="44" t="s">
        <v>2272</v>
      </c>
      <c r="D52" s="44" t="s">
        <v>2425</v>
      </c>
      <c r="E52" s="44" t="s">
        <v>2392</v>
      </c>
      <c r="F52" s="44" t="s">
        <v>2475</v>
      </c>
      <c r="G52" s="44" t="s">
        <v>2369</v>
      </c>
      <c r="H52" s="44" t="s">
        <v>2476</v>
      </c>
      <c r="I52" s="44" t="s">
        <v>2235</v>
      </c>
      <c r="J52" s="79" t="s">
        <v>2261</v>
      </c>
      <c r="K52" s="72">
        <f>+L52+N52+P52+R52+T52</f>
        <v>33646</v>
      </c>
      <c r="L52" s="119">
        <v>0</v>
      </c>
      <c r="M52" s="47">
        <v>0</v>
      </c>
      <c r="N52" s="49">
        <v>19266</v>
      </c>
      <c r="O52" s="49">
        <v>19266</v>
      </c>
      <c r="P52" s="49">
        <v>9000</v>
      </c>
      <c r="Q52" s="49">
        <v>9000</v>
      </c>
      <c r="R52" s="49">
        <v>5000</v>
      </c>
      <c r="S52" s="49">
        <v>0</v>
      </c>
      <c r="T52" s="49">
        <v>380</v>
      </c>
      <c r="U52" s="49">
        <v>0</v>
      </c>
      <c r="V52" s="80">
        <f>+M52+O52+Q52+S52+U52</f>
        <v>28266</v>
      </c>
      <c r="W52" s="51">
        <f t="shared" si="7"/>
        <v>0.84009986328241093</v>
      </c>
      <c r="X52" s="109">
        <v>1475</v>
      </c>
      <c r="Y52" s="109"/>
      <c r="Z52" s="109"/>
      <c r="AA52" s="100">
        <f>3267-X52</f>
        <v>1792</v>
      </c>
      <c r="AB52" s="100"/>
      <c r="AC52" s="100"/>
      <c r="AD52" s="100">
        <v>2218</v>
      </c>
      <c r="AE52" s="100"/>
      <c r="AF52" s="100"/>
      <c r="AG52" s="100">
        <v>9000</v>
      </c>
      <c r="AH52" s="100"/>
      <c r="AI52" s="100"/>
      <c r="AJ52" s="85">
        <f>AG52</f>
        <v>9000</v>
      </c>
      <c r="AK52" s="55">
        <f t="shared" si="11"/>
        <v>1</v>
      </c>
      <c r="AL52" s="56"/>
      <c r="AM52" s="56"/>
      <c r="AN52" s="56"/>
      <c r="AO52" s="102">
        <v>0</v>
      </c>
      <c r="AP52" s="102">
        <v>0</v>
      </c>
      <c r="AQ52" s="102">
        <v>0</v>
      </c>
      <c r="AR52" s="120">
        <v>0</v>
      </c>
      <c r="AS52" s="104">
        <v>0</v>
      </c>
      <c r="AT52" s="104">
        <v>0</v>
      </c>
    </row>
    <row r="53" spans="1:46" s="60" customFormat="1" ht="31.5" customHeight="1" x14ac:dyDescent="0.2">
      <c r="A53" s="42"/>
      <c r="B53" s="43"/>
      <c r="C53" s="44" t="s">
        <v>2272</v>
      </c>
      <c r="D53" s="44" t="s">
        <v>2425</v>
      </c>
      <c r="E53" s="44" t="s">
        <v>2392</v>
      </c>
      <c r="F53" s="44" t="s">
        <v>2478</v>
      </c>
      <c r="G53" s="44" t="s">
        <v>2369</v>
      </c>
      <c r="H53" s="44" t="s">
        <v>2477</v>
      </c>
      <c r="I53" s="44" t="s">
        <v>2235</v>
      </c>
      <c r="J53" s="79" t="s">
        <v>2261</v>
      </c>
      <c r="K53" s="72">
        <v>100</v>
      </c>
      <c r="L53" s="119">
        <v>0</v>
      </c>
      <c r="M53" s="47">
        <v>0</v>
      </c>
      <c r="N53" s="49">
        <v>36</v>
      </c>
      <c r="O53" s="49">
        <v>36</v>
      </c>
      <c r="P53" s="49">
        <v>32</v>
      </c>
      <c r="Q53" s="49">
        <v>25</v>
      </c>
      <c r="R53" s="49">
        <v>32</v>
      </c>
      <c r="S53" s="49">
        <v>0</v>
      </c>
      <c r="T53" s="49">
        <v>0</v>
      </c>
      <c r="U53" s="49">
        <v>0</v>
      </c>
      <c r="V53" s="80">
        <f>+M53+O53+Q53+S53+U53</f>
        <v>61</v>
      </c>
      <c r="W53" s="51">
        <f t="shared" si="7"/>
        <v>0.61</v>
      </c>
      <c r="X53" s="109">
        <v>8.5</v>
      </c>
      <c r="Y53" s="109"/>
      <c r="Z53" s="109"/>
      <c r="AA53" s="100">
        <v>17</v>
      </c>
      <c r="AB53" s="100"/>
      <c r="AC53" s="100"/>
      <c r="AD53" s="121">
        <f>25.6</f>
        <v>25.6</v>
      </c>
      <c r="AE53" s="121"/>
      <c r="AF53" s="121"/>
      <c r="AG53" s="100">
        <v>32</v>
      </c>
      <c r="AH53" s="100"/>
      <c r="AI53" s="100"/>
      <c r="AJ53" s="122">
        <f>AG53</f>
        <v>32</v>
      </c>
      <c r="AK53" s="55">
        <f t="shared" si="11"/>
        <v>1</v>
      </c>
      <c r="AL53" s="56"/>
      <c r="AM53" s="56"/>
      <c r="AN53" s="56"/>
      <c r="AO53" s="102">
        <v>0</v>
      </c>
      <c r="AP53" s="102">
        <v>0</v>
      </c>
      <c r="AQ53" s="102">
        <v>0</v>
      </c>
      <c r="AR53" s="120">
        <v>0</v>
      </c>
      <c r="AS53" s="104">
        <v>0</v>
      </c>
      <c r="AT53" s="104">
        <v>0</v>
      </c>
    </row>
    <row r="54" spans="1:46" s="60" customFormat="1" ht="31.5" customHeight="1" x14ac:dyDescent="0.2">
      <c r="A54" s="42"/>
      <c r="B54" s="43"/>
      <c r="C54" s="186" t="s">
        <v>2272</v>
      </c>
      <c r="D54" s="186" t="s">
        <v>2425</v>
      </c>
      <c r="E54" s="186" t="s">
        <v>2392</v>
      </c>
      <c r="F54" s="44" t="s">
        <v>2328</v>
      </c>
      <c r="G54" s="44" t="s">
        <v>2329</v>
      </c>
      <c r="H54" s="44" t="s">
        <v>2417</v>
      </c>
      <c r="I54" s="44" t="s">
        <v>2418</v>
      </c>
      <c r="J54" s="45" t="s">
        <v>2261</v>
      </c>
      <c r="K54" s="72">
        <f>+L54+N54+P54+R54+T54</f>
        <v>6</v>
      </c>
      <c r="L54" s="49">
        <v>0</v>
      </c>
      <c r="M54" s="47">
        <v>0</v>
      </c>
      <c r="N54" s="49">
        <v>3</v>
      </c>
      <c r="O54" s="49">
        <v>3</v>
      </c>
      <c r="P54" s="49">
        <v>3</v>
      </c>
      <c r="Q54" s="49">
        <v>0</v>
      </c>
      <c r="R54" s="49">
        <v>0</v>
      </c>
      <c r="S54" s="49">
        <v>0</v>
      </c>
      <c r="T54" s="49">
        <v>0</v>
      </c>
      <c r="U54" s="49">
        <v>0</v>
      </c>
      <c r="V54" s="50">
        <f>+M54+O54+Q54+S54+U54</f>
        <v>3</v>
      </c>
      <c r="W54" s="99">
        <f>+V54/K54</f>
        <v>0.5</v>
      </c>
      <c r="X54" s="109">
        <v>0</v>
      </c>
      <c r="Y54" s="109"/>
      <c r="Z54" s="109"/>
      <c r="AA54" s="100">
        <v>0</v>
      </c>
      <c r="AB54" s="100"/>
      <c r="AC54" s="100"/>
      <c r="AD54" s="100">
        <v>0</v>
      </c>
      <c r="AE54" s="100"/>
      <c r="AF54" s="100"/>
      <c r="AG54" s="100">
        <v>0</v>
      </c>
      <c r="AH54" s="100"/>
      <c r="AI54" s="100"/>
      <c r="AJ54" s="85">
        <f t="shared" ref="AJ46:AJ61" si="13">+X54+AA54+AD54+AG54</f>
        <v>0</v>
      </c>
      <c r="AK54" s="75">
        <f t="shared" si="11"/>
        <v>0</v>
      </c>
      <c r="AL54" s="56" t="s">
        <v>2563</v>
      </c>
      <c r="AM54" s="56" t="s">
        <v>2485</v>
      </c>
      <c r="AN54" s="56" t="s">
        <v>2564</v>
      </c>
      <c r="AO54" s="118">
        <v>203</v>
      </c>
      <c r="AP54" s="118">
        <v>0</v>
      </c>
      <c r="AQ54" s="96">
        <v>82377665</v>
      </c>
      <c r="AR54" s="97">
        <v>82377665</v>
      </c>
      <c r="AS54" s="123">
        <v>0</v>
      </c>
      <c r="AT54" s="123">
        <v>0</v>
      </c>
    </row>
    <row r="55" spans="1:46" s="60" customFormat="1" ht="31.5" customHeight="1" x14ac:dyDescent="0.2">
      <c r="A55" s="42"/>
      <c r="B55" s="43"/>
      <c r="C55" s="186" t="s">
        <v>2272</v>
      </c>
      <c r="D55" s="186" t="s">
        <v>2425</v>
      </c>
      <c r="E55" s="186" t="s">
        <v>2392</v>
      </c>
      <c r="F55" s="44" t="s">
        <v>2447</v>
      </c>
      <c r="G55" s="44" t="s">
        <v>2329</v>
      </c>
      <c r="H55" s="44" t="s">
        <v>2448</v>
      </c>
      <c r="I55" s="44" t="s">
        <v>2418</v>
      </c>
      <c r="J55" s="45" t="s">
        <v>2449</v>
      </c>
      <c r="K55" s="72">
        <f>+L55+N55+P55+R55+T55</f>
        <v>6</v>
      </c>
      <c r="L55" s="49">
        <v>0</v>
      </c>
      <c r="M55" s="47">
        <v>0</v>
      </c>
      <c r="N55" s="49">
        <v>3</v>
      </c>
      <c r="O55" s="49">
        <v>3</v>
      </c>
      <c r="P55" s="49">
        <v>3</v>
      </c>
      <c r="Q55" s="49">
        <v>0</v>
      </c>
      <c r="R55" s="49">
        <v>0</v>
      </c>
      <c r="S55" s="49">
        <v>0</v>
      </c>
      <c r="T55" s="49">
        <v>0</v>
      </c>
      <c r="U55" s="49">
        <v>0</v>
      </c>
      <c r="V55" s="50">
        <f>+M55+O55+Q55+S55+U55</f>
        <v>3</v>
      </c>
      <c r="W55" s="99">
        <f>+V55/K55</f>
        <v>0.5</v>
      </c>
      <c r="X55" s="109">
        <v>0</v>
      </c>
      <c r="Y55" s="109"/>
      <c r="Z55" s="109"/>
      <c r="AA55" s="100">
        <v>0</v>
      </c>
      <c r="AB55" s="100"/>
      <c r="AC55" s="100"/>
      <c r="AD55" s="100">
        <v>0</v>
      </c>
      <c r="AE55" s="100"/>
      <c r="AF55" s="100"/>
      <c r="AG55" s="100">
        <v>0</v>
      </c>
      <c r="AH55" s="100"/>
      <c r="AI55" s="100"/>
      <c r="AJ55" s="85">
        <f t="shared" si="13"/>
        <v>0</v>
      </c>
      <c r="AK55" s="75">
        <f t="shared" si="11"/>
        <v>0</v>
      </c>
      <c r="AL55" s="56"/>
      <c r="AM55" s="56"/>
      <c r="AN55" s="56"/>
      <c r="AO55" s="118"/>
      <c r="AP55" s="118"/>
      <c r="AQ55" s="96"/>
      <c r="AR55" s="97"/>
      <c r="AS55" s="123"/>
      <c r="AT55" s="123"/>
    </row>
    <row r="56" spans="1:46" s="60" customFormat="1" ht="31.5" customHeight="1" x14ac:dyDescent="0.2">
      <c r="A56" s="42"/>
      <c r="B56" s="43"/>
      <c r="C56" s="186" t="s">
        <v>2272</v>
      </c>
      <c r="D56" s="186" t="s">
        <v>2425</v>
      </c>
      <c r="E56" s="186" t="s">
        <v>2392</v>
      </c>
      <c r="F56" s="44" t="s">
        <v>2446</v>
      </c>
      <c r="G56" s="44" t="s">
        <v>2329</v>
      </c>
      <c r="H56" s="44" t="s">
        <v>2419</v>
      </c>
      <c r="I56" s="44" t="s">
        <v>2236</v>
      </c>
      <c r="J56" s="45" t="s">
        <v>2258</v>
      </c>
      <c r="K56" s="105">
        <v>100</v>
      </c>
      <c r="L56" s="49">
        <v>100</v>
      </c>
      <c r="M56" s="47">
        <v>100</v>
      </c>
      <c r="N56" s="49">
        <v>100</v>
      </c>
      <c r="O56" s="49">
        <v>100</v>
      </c>
      <c r="P56" s="49">
        <v>100</v>
      </c>
      <c r="Q56" s="49">
        <v>75</v>
      </c>
      <c r="R56" s="49">
        <v>100</v>
      </c>
      <c r="S56" s="49">
        <v>0</v>
      </c>
      <c r="T56" s="49">
        <v>100</v>
      </c>
      <c r="U56" s="49">
        <v>0</v>
      </c>
      <c r="V56" s="50">
        <f>+AVERAGE(M56,O56,Q56,0,0)</f>
        <v>55</v>
      </c>
      <c r="W56" s="99">
        <f>+V56/K56</f>
        <v>0.55000000000000004</v>
      </c>
      <c r="X56" s="109">
        <v>25</v>
      </c>
      <c r="Y56" s="109"/>
      <c r="Z56" s="109"/>
      <c r="AA56" s="100">
        <v>50</v>
      </c>
      <c r="AB56" s="100"/>
      <c r="AC56" s="100"/>
      <c r="AD56" s="100">
        <v>75</v>
      </c>
      <c r="AE56" s="100"/>
      <c r="AF56" s="100"/>
      <c r="AG56" s="100">
        <v>100</v>
      </c>
      <c r="AH56" s="100"/>
      <c r="AI56" s="100"/>
      <c r="AJ56" s="85">
        <f>AG56</f>
        <v>100</v>
      </c>
      <c r="AK56" s="55">
        <f t="shared" si="11"/>
        <v>1</v>
      </c>
      <c r="AL56" s="56"/>
      <c r="AM56" s="56"/>
      <c r="AN56" s="56"/>
      <c r="AO56" s="102">
        <v>33138</v>
      </c>
      <c r="AP56" s="102">
        <v>8126</v>
      </c>
      <c r="AQ56" s="87">
        <v>239285236421</v>
      </c>
      <c r="AR56" s="88">
        <v>239265818665</v>
      </c>
      <c r="AS56" s="194">
        <v>225954466684</v>
      </c>
      <c r="AT56" s="194">
        <v>83174794991</v>
      </c>
    </row>
    <row r="57" spans="1:46" s="60" customFormat="1" ht="31.5" customHeight="1" x14ac:dyDescent="0.2">
      <c r="A57" s="42"/>
      <c r="B57" s="43"/>
      <c r="C57" s="186" t="s">
        <v>2272</v>
      </c>
      <c r="D57" s="186" t="s">
        <v>2425</v>
      </c>
      <c r="E57" s="186" t="s">
        <v>2392</v>
      </c>
      <c r="F57" s="44" t="s">
        <v>2330</v>
      </c>
      <c r="G57" s="44" t="s">
        <v>2331</v>
      </c>
      <c r="H57" s="44" t="s">
        <v>2332</v>
      </c>
      <c r="I57" s="44" t="s">
        <v>2269</v>
      </c>
      <c r="J57" s="45" t="s">
        <v>2261</v>
      </c>
      <c r="K57" s="72">
        <v>43</v>
      </c>
      <c r="L57" s="49">
        <v>0</v>
      </c>
      <c r="M57" s="47">
        <v>0</v>
      </c>
      <c r="N57" s="49">
        <v>24</v>
      </c>
      <c r="O57" s="49">
        <v>20</v>
      </c>
      <c r="P57" s="49">
        <v>3</v>
      </c>
      <c r="Q57" s="49">
        <v>3</v>
      </c>
      <c r="R57" s="49">
        <v>0</v>
      </c>
      <c r="S57" s="49">
        <v>0</v>
      </c>
      <c r="T57" s="49">
        <v>20</v>
      </c>
      <c r="U57" s="49">
        <v>0</v>
      </c>
      <c r="V57" s="50">
        <f>+M57+O57+Q57+S57+U57</f>
        <v>23</v>
      </c>
      <c r="W57" s="51">
        <f>+V57/K57</f>
        <v>0.53488372093023251</v>
      </c>
      <c r="X57" s="109">
        <v>1</v>
      </c>
      <c r="Y57" s="109"/>
      <c r="Z57" s="109"/>
      <c r="AA57" s="100">
        <v>3</v>
      </c>
      <c r="AB57" s="100"/>
      <c r="AC57" s="100"/>
      <c r="AD57" s="100">
        <v>3</v>
      </c>
      <c r="AE57" s="100"/>
      <c r="AF57" s="100"/>
      <c r="AG57" s="100">
        <v>3</v>
      </c>
      <c r="AH57" s="100"/>
      <c r="AI57" s="100"/>
      <c r="AJ57" s="85">
        <f>AG57</f>
        <v>3</v>
      </c>
      <c r="AK57" s="55">
        <f t="shared" ref="AK57:AK61" si="14">+AJ57/P57</f>
        <v>1</v>
      </c>
      <c r="AL57" s="56" t="s">
        <v>2558</v>
      </c>
      <c r="AM57" s="56" t="s">
        <v>2557</v>
      </c>
      <c r="AN57" s="56" t="s">
        <v>2559</v>
      </c>
      <c r="AO57" s="102">
        <v>0</v>
      </c>
      <c r="AP57" s="102">
        <v>0</v>
      </c>
      <c r="AQ57" s="87">
        <v>0</v>
      </c>
      <c r="AR57" s="88">
        <v>0</v>
      </c>
      <c r="AS57" s="104">
        <v>0</v>
      </c>
      <c r="AT57" s="104">
        <v>0</v>
      </c>
    </row>
    <row r="58" spans="1:46" s="60" customFormat="1" ht="31.5" customHeight="1" x14ac:dyDescent="0.2">
      <c r="A58" s="42"/>
      <c r="B58" s="43"/>
      <c r="C58" s="186" t="s">
        <v>2272</v>
      </c>
      <c r="D58" s="186" t="s">
        <v>2425</v>
      </c>
      <c r="E58" s="186" t="s">
        <v>2392</v>
      </c>
      <c r="F58" s="44" t="s">
        <v>2452</v>
      </c>
      <c r="G58" s="44" t="s">
        <v>2331</v>
      </c>
      <c r="H58" s="44" t="s">
        <v>2420</v>
      </c>
      <c r="I58" s="44" t="s">
        <v>2236</v>
      </c>
      <c r="J58" s="45" t="s">
        <v>2258</v>
      </c>
      <c r="K58" s="105">
        <v>100</v>
      </c>
      <c r="L58" s="49">
        <v>100</v>
      </c>
      <c r="M58" s="47">
        <v>100</v>
      </c>
      <c r="N58" s="49">
        <v>100</v>
      </c>
      <c r="O58" s="49">
        <v>100</v>
      </c>
      <c r="P58" s="49">
        <v>100</v>
      </c>
      <c r="Q58" s="49">
        <v>100</v>
      </c>
      <c r="R58" s="49">
        <v>100</v>
      </c>
      <c r="S58" s="49">
        <v>0</v>
      </c>
      <c r="T58" s="49">
        <v>100</v>
      </c>
      <c r="U58" s="49">
        <v>0</v>
      </c>
      <c r="V58" s="50">
        <f>+AVERAGE(M58,O58,Q58,0,0)</f>
        <v>60</v>
      </c>
      <c r="W58" s="99">
        <f t="shared" ref="W58" si="15">+V58/K58</f>
        <v>0.6</v>
      </c>
      <c r="X58" s="109">
        <v>25</v>
      </c>
      <c r="Y58" s="109"/>
      <c r="Z58" s="109"/>
      <c r="AA58" s="100">
        <v>50</v>
      </c>
      <c r="AB58" s="100"/>
      <c r="AC58" s="100"/>
      <c r="AD58" s="100">
        <v>75</v>
      </c>
      <c r="AE58" s="100"/>
      <c r="AF58" s="100"/>
      <c r="AG58" s="100">
        <v>100</v>
      </c>
      <c r="AH58" s="100"/>
      <c r="AI58" s="100"/>
      <c r="AJ58" s="85">
        <f>AG58</f>
        <v>100</v>
      </c>
      <c r="AK58" s="55">
        <f t="shared" si="14"/>
        <v>1</v>
      </c>
      <c r="AL58" s="56"/>
      <c r="AM58" s="56"/>
      <c r="AN58" s="56"/>
      <c r="AO58" s="102">
        <v>20166</v>
      </c>
      <c r="AP58" s="102">
        <v>10404</v>
      </c>
      <c r="AQ58" s="87">
        <v>49114695513</v>
      </c>
      <c r="AR58" s="88">
        <v>42169835151</v>
      </c>
      <c r="AS58" s="194">
        <v>54994761619</v>
      </c>
      <c r="AT58" s="194">
        <v>54367287421</v>
      </c>
    </row>
    <row r="59" spans="1:46" s="60" customFormat="1" ht="31.5" customHeight="1" x14ac:dyDescent="0.2">
      <c r="A59" s="42"/>
      <c r="B59" s="43"/>
      <c r="C59" s="186" t="s">
        <v>2272</v>
      </c>
      <c r="D59" s="186" t="s">
        <v>2425</v>
      </c>
      <c r="E59" s="186" t="s">
        <v>2392</v>
      </c>
      <c r="F59" s="186" t="s">
        <v>2326</v>
      </c>
      <c r="G59" s="44" t="s">
        <v>2327</v>
      </c>
      <c r="H59" s="62" t="s">
        <v>2336</v>
      </c>
      <c r="I59" s="44" t="s">
        <v>2236</v>
      </c>
      <c r="J59" s="45" t="s">
        <v>2259</v>
      </c>
      <c r="K59" s="105">
        <v>100</v>
      </c>
      <c r="L59" s="49">
        <v>20</v>
      </c>
      <c r="M59" s="47">
        <v>20</v>
      </c>
      <c r="N59" s="49">
        <v>40</v>
      </c>
      <c r="O59" s="49">
        <v>40</v>
      </c>
      <c r="P59" s="49">
        <v>60</v>
      </c>
      <c r="Q59" s="49">
        <v>55</v>
      </c>
      <c r="R59" s="49">
        <v>80</v>
      </c>
      <c r="S59" s="49">
        <v>0</v>
      </c>
      <c r="T59" s="49">
        <v>100</v>
      </c>
      <c r="U59" s="49">
        <v>0</v>
      </c>
      <c r="V59" s="106">
        <f>+Q59</f>
        <v>55</v>
      </c>
      <c r="W59" s="51">
        <f t="shared" si="7"/>
        <v>0.55000000000000004</v>
      </c>
      <c r="X59" s="109">
        <v>40.25</v>
      </c>
      <c r="Y59" s="109"/>
      <c r="Z59" s="109"/>
      <c r="AA59" s="100">
        <v>50</v>
      </c>
      <c r="AB59" s="100"/>
      <c r="AC59" s="100"/>
      <c r="AD59" s="100">
        <v>55</v>
      </c>
      <c r="AE59" s="100"/>
      <c r="AF59" s="100"/>
      <c r="AG59" s="100">
        <v>60</v>
      </c>
      <c r="AH59" s="100"/>
      <c r="AI59" s="100"/>
      <c r="AJ59" s="85">
        <f>AG59</f>
        <v>60</v>
      </c>
      <c r="AK59" s="55">
        <f t="shared" si="14"/>
        <v>1</v>
      </c>
      <c r="AL59" s="56" t="s">
        <v>2545</v>
      </c>
      <c r="AM59" s="56" t="s">
        <v>2485</v>
      </c>
      <c r="AN59" s="56" t="s">
        <v>2546</v>
      </c>
      <c r="AO59" s="102">
        <v>0</v>
      </c>
      <c r="AP59" s="102">
        <v>0</v>
      </c>
      <c r="AQ59" s="87">
        <v>164368030</v>
      </c>
      <c r="AR59" s="88">
        <v>164089227</v>
      </c>
      <c r="AS59" s="194">
        <v>680310955</v>
      </c>
      <c r="AT59" s="194">
        <v>80310955</v>
      </c>
    </row>
    <row r="60" spans="1:46" s="60" customFormat="1" ht="31.5" customHeight="1" x14ac:dyDescent="0.2">
      <c r="A60" s="42"/>
      <c r="B60" s="43"/>
      <c r="C60" s="186" t="s">
        <v>2272</v>
      </c>
      <c r="D60" s="186" t="s">
        <v>2425</v>
      </c>
      <c r="E60" s="186" t="s">
        <v>2392</v>
      </c>
      <c r="F60" s="186" t="s">
        <v>2588</v>
      </c>
      <c r="G60" s="44" t="s">
        <v>2327</v>
      </c>
      <c r="H60" s="62"/>
      <c r="I60" s="44" t="s">
        <v>2235</v>
      </c>
      <c r="J60" s="45" t="s">
        <v>2258</v>
      </c>
      <c r="K60" s="105">
        <v>1</v>
      </c>
      <c r="L60" s="49">
        <v>1</v>
      </c>
      <c r="M60" s="47">
        <v>1</v>
      </c>
      <c r="N60" s="49">
        <v>1</v>
      </c>
      <c r="O60" s="49">
        <v>1</v>
      </c>
      <c r="P60" s="49">
        <v>1</v>
      </c>
      <c r="Q60" s="49">
        <v>0.82</v>
      </c>
      <c r="R60" s="49">
        <v>1</v>
      </c>
      <c r="S60" s="49">
        <v>0</v>
      </c>
      <c r="T60" s="49">
        <v>1</v>
      </c>
      <c r="U60" s="49">
        <v>0</v>
      </c>
      <c r="V60" s="50">
        <f>+AVERAGE(M60,O60,Q60,0,0)</f>
        <v>0.56399999999999995</v>
      </c>
      <c r="W60" s="51">
        <f>+V60/K60</f>
        <v>0.56399999999999995</v>
      </c>
      <c r="X60" s="109">
        <v>0.41</v>
      </c>
      <c r="Y60" s="109"/>
      <c r="Z60" s="109"/>
      <c r="AA60" s="81">
        <v>0.53</v>
      </c>
      <c r="AB60" s="81"/>
      <c r="AC60" s="81"/>
      <c r="AD60" s="81">
        <v>0.82</v>
      </c>
      <c r="AE60" s="81"/>
      <c r="AF60" s="81"/>
      <c r="AG60" s="100">
        <v>1</v>
      </c>
      <c r="AH60" s="100"/>
      <c r="AI60" s="100"/>
      <c r="AJ60" s="85">
        <f>AG60</f>
        <v>1</v>
      </c>
      <c r="AK60" s="75">
        <f t="shared" si="14"/>
        <v>1</v>
      </c>
      <c r="AL60" s="56"/>
      <c r="AM60" s="56"/>
      <c r="AN60" s="56"/>
      <c r="AO60" s="102">
        <v>2224</v>
      </c>
      <c r="AP60" s="102">
        <v>2224</v>
      </c>
      <c r="AQ60" s="87">
        <v>1542789535</v>
      </c>
      <c r="AR60" s="88">
        <v>1542789533</v>
      </c>
      <c r="AS60" s="194">
        <v>1233012315</v>
      </c>
      <c r="AT60" s="194">
        <v>1233012315</v>
      </c>
    </row>
    <row r="61" spans="1:46" s="60" customFormat="1" ht="31.5" customHeight="1" x14ac:dyDescent="0.2">
      <c r="A61" s="42"/>
      <c r="B61" s="43"/>
      <c r="C61" s="44" t="s">
        <v>2272</v>
      </c>
      <c r="D61" s="44" t="s">
        <v>2425</v>
      </c>
      <c r="E61" s="44" t="s">
        <v>2392</v>
      </c>
      <c r="F61" s="44" t="s">
        <v>2383</v>
      </c>
      <c r="G61" s="44" t="s">
        <v>2382</v>
      </c>
      <c r="H61" s="44" t="s">
        <v>2384</v>
      </c>
      <c r="I61" s="44" t="s">
        <v>2236</v>
      </c>
      <c r="J61" s="45" t="s">
        <v>2258</v>
      </c>
      <c r="K61" s="105">
        <v>100</v>
      </c>
      <c r="L61" s="49">
        <v>100</v>
      </c>
      <c r="M61" s="47">
        <v>100</v>
      </c>
      <c r="N61" s="49">
        <v>100</v>
      </c>
      <c r="O61" s="49">
        <v>100</v>
      </c>
      <c r="P61" s="49">
        <v>100</v>
      </c>
      <c r="Q61" s="49">
        <v>100</v>
      </c>
      <c r="R61" s="49">
        <v>100</v>
      </c>
      <c r="S61" s="49">
        <v>0</v>
      </c>
      <c r="T61" s="49">
        <v>100</v>
      </c>
      <c r="U61" s="49">
        <v>0</v>
      </c>
      <c r="V61" s="50">
        <f>+AVERAGE(M61,O61,Q61,0,0)</f>
        <v>60</v>
      </c>
      <c r="W61" s="99">
        <f t="shared" ref="W61" si="16">+V61/K61</f>
        <v>0.6</v>
      </c>
      <c r="X61" s="109">
        <v>25</v>
      </c>
      <c r="Y61" s="109"/>
      <c r="Z61" s="109"/>
      <c r="AA61" s="100">
        <v>50</v>
      </c>
      <c r="AB61" s="100"/>
      <c r="AC61" s="100"/>
      <c r="AD61" s="100">
        <v>75</v>
      </c>
      <c r="AE61" s="100"/>
      <c r="AF61" s="100"/>
      <c r="AG61" s="100">
        <v>100</v>
      </c>
      <c r="AH61" s="100"/>
      <c r="AI61" s="100"/>
      <c r="AJ61" s="85">
        <f>AG61</f>
        <v>100</v>
      </c>
      <c r="AK61" s="55">
        <f t="shared" si="14"/>
        <v>1</v>
      </c>
      <c r="AL61" s="45" t="s">
        <v>2561</v>
      </c>
      <c r="AM61" s="45" t="s">
        <v>2485</v>
      </c>
      <c r="AN61" s="45" t="s">
        <v>2562</v>
      </c>
      <c r="AO61" s="102">
        <v>18946</v>
      </c>
      <c r="AP61" s="102">
        <v>18852</v>
      </c>
      <c r="AQ61" s="87">
        <v>101460657421</v>
      </c>
      <c r="AR61" s="88">
        <v>90384116245</v>
      </c>
      <c r="AS61" s="194">
        <v>113776997912</v>
      </c>
      <c r="AT61" s="194">
        <v>108108338948</v>
      </c>
    </row>
    <row r="62" spans="1:46" s="60" customFormat="1" ht="31.5" customHeight="1" x14ac:dyDescent="0.2">
      <c r="A62" s="42"/>
      <c r="B62" s="43"/>
      <c r="C62" s="186" t="s">
        <v>2272</v>
      </c>
      <c r="D62" s="186" t="s">
        <v>2425</v>
      </c>
      <c r="E62" s="186" t="s">
        <v>2392</v>
      </c>
      <c r="F62" s="44" t="s">
        <v>2349</v>
      </c>
      <c r="G62" s="44" t="s">
        <v>2389</v>
      </c>
      <c r="H62" s="44" t="s">
        <v>2390</v>
      </c>
      <c r="I62" s="44" t="s">
        <v>2269</v>
      </c>
      <c r="J62" s="45" t="s">
        <v>2261</v>
      </c>
      <c r="K62" s="72">
        <f>+L62+N62+P62+R62+T62</f>
        <v>1</v>
      </c>
      <c r="L62" s="49">
        <v>0</v>
      </c>
      <c r="M62" s="47">
        <f t="shared" ref="M62" si="17">AD62+AG62</f>
        <v>0</v>
      </c>
      <c r="N62" s="49">
        <v>0</v>
      </c>
      <c r="O62" s="49">
        <v>0</v>
      </c>
      <c r="P62" s="49">
        <v>0</v>
      </c>
      <c r="Q62" s="49">
        <v>0</v>
      </c>
      <c r="R62" s="49">
        <v>0</v>
      </c>
      <c r="S62" s="49">
        <v>0</v>
      </c>
      <c r="T62" s="49">
        <v>1</v>
      </c>
      <c r="U62" s="49">
        <v>0</v>
      </c>
      <c r="V62" s="80">
        <f>+M62+O62+Q62+S62+U62</f>
        <v>0</v>
      </c>
      <c r="W62" s="51">
        <f>+V62/K62</f>
        <v>0</v>
      </c>
      <c r="X62" s="100">
        <v>0</v>
      </c>
      <c r="Y62" s="100"/>
      <c r="Z62" s="100"/>
      <c r="AA62" s="100">
        <v>0</v>
      </c>
      <c r="AB62" s="100"/>
      <c r="AC62" s="100"/>
      <c r="AD62" s="100">
        <v>0</v>
      </c>
      <c r="AE62" s="100"/>
      <c r="AF62" s="100"/>
      <c r="AG62" s="100">
        <v>0</v>
      </c>
      <c r="AH62" s="100"/>
      <c r="AI62" s="100"/>
      <c r="AJ62" s="124">
        <v>0</v>
      </c>
      <c r="AK62" s="55">
        <f>IFERROR(AJ62/P62,0)</f>
        <v>0</v>
      </c>
      <c r="AL62" s="56" t="s">
        <v>2560</v>
      </c>
      <c r="AM62" s="56" t="s">
        <v>2557</v>
      </c>
      <c r="AN62" s="56" t="s">
        <v>2493</v>
      </c>
      <c r="AO62" s="102">
        <v>0</v>
      </c>
      <c r="AP62" s="102">
        <v>0</v>
      </c>
      <c r="AQ62" s="102">
        <v>0</v>
      </c>
      <c r="AR62" s="120">
        <v>0</v>
      </c>
      <c r="AS62" s="104">
        <v>0</v>
      </c>
      <c r="AT62" s="104">
        <v>0</v>
      </c>
    </row>
    <row r="63" spans="1:46" s="60" customFormat="1" ht="31.5" customHeight="1" x14ac:dyDescent="0.2">
      <c r="A63" s="42"/>
      <c r="B63" s="43"/>
      <c r="C63" s="186" t="s">
        <v>2272</v>
      </c>
      <c r="D63" s="186" t="s">
        <v>2425</v>
      </c>
      <c r="E63" s="186" t="s">
        <v>2392</v>
      </c>
      <c r="F63" s="44" t="s">
        <v>2453</v>
      </c>
      <c r="G63" s="44" t="s">
        <v>2389</v>
      </c>
      <c r="H63" s="44" t="s">
        <v>2421</v>
      </c>
      <c r="I63" s="44" t="s">
        <v>2236</v>
      </c>
      <c r="J63" s="45" t="s">
        <v>2258</v>
      </c>
      <c r="K63" s="105">
        <v>100</v>
      </c>
      <c r="L63" s="49">
        <v>100</v>
      </c>
      <c r="M63" s="47">
        <v>100</v>
      </c>
      <c r="N63" s="49">
        <v>100</v>
      </c>
      <c r="O63" s="49">
        <v>100</v>
      </c>
      <c r="P63" s="49">
        <v>100</v>
      </c>
      <c r="Q63" s="49">
        <v>100</v>
      </c>
      <c r="R63" s="49">
        <v>100</v>
      </c>
      <c r="S63" s="49">
        <v>0</v>
      </c>
      <c r="T63" s="49">
        <v>100</v>
      </c>
      <c r="U63" s="49">
        <v>0</v>
      </c>
      <c r="V63" s="50">
        <f>+AVERAGE(M63,O63,Q63,0,0)</f>
        <v>60</v>
      </c>
      <c r="W63" s="99">
        <f>+V63/K63</f>
        <v>0.6</v>
      </c>
      <c r="X63" s="109">
        <v>25</v>
      </c>
      <c r="Y63" s="109"/>
      <c r="Z63" s="109"/>
      <c r="AA63" s="100">
        <v>50</v>
      </c>
      <c r="AB63" s="100"/>
      <c r="AC63" s="100"/>
      <c r="AD63" s="100">
        <v>75</v>
      </c>
      <c r="AE63" s="100"/>
      <c r="AF63" s="100"/>
      <c r="AG63" s="100">
        <v>100</v>
      </c>
      <c r="AH63" s="100"/>
      <c r="AI63" s="100"/>
      <c r="AJ63" s="85">
        <f>AG63</f>
        <v>100</v>
      </c>
      <c r="AK63" s="55">
        <f>AJ63/P63</f>
        <v>1</v>
      </c>
      <c r="AL63" s="56"/>
      <c r="AM63" s="56"/>
      <c r="AN63" s="56"/>
      <c r="AO63" s="102">
        <v>0</v>
      </c>
      <c r="AP63" s="102">
        <v>0</v>
      </c>
      <c r="AQ63" s="87">
        <v>171233460</v>
      </c>
      <c r="AR63" s="88">
        <v>171233460</v>
      </c>
      <c r="AS63" s="194">
        <v>206187917</v>
      </c>
      <c r="AT63" s="194">
        <v>206187029</v>
      </c>
    </row>
    <row r="64" spans="1:46" s="60" customFormat="1" ht="31.5" customHeight="1" x14ac:dyDescent="0.2">
      <c r="A64" s="42"/>
      <c r="B64" s="43"/>
      <c r="C64" s="44" t="s">
        <v>2272</v>
      </c>
      <c r="D64" s="44" t="s">
        <v>2425</v>
      </c>
      <c r="E64" s="44" t="s">
        <v>2429</v>
      </c>
      <c r="F64" s="79" t="s">
        <v>2432</v>
      </c>
      <c r="G64" s="44" t="s">
        <v>2428</v>
      </c>
      <c r="H64" s="44" t="s">
        <v>2430</v>
      </c>
      <c r="I64" s="44" t="s">
        <v>2388</v>
      </c>
      <c r="J64" s="45" t="s">
        <v>2259</v>
      </c>
      <c r="K64" s="72">
        <f>100</f>
        <v>100</v>
      </c>
      <c r="L64" s="49">
        <v>0</v>
      </c>
      <c r="M64" s="47">
        <v>0</v>
      </c>
      <c r="N64" s="49">
        <v>23</v>
      </c>
      <c r="O64" s="49">
        <v>23</v>
      </c>
      <c r="P64" s="49">
        <v>79</v>
      </c>
      <c r="Q64" s="49">
        <v>47.87</v>
      </c>
      <c r="R64" s="49">
        <v>100</v>
      </c>
      <c r="S64" s="49">
        <v>0</v>
      </c>
      <c r="T64" s="49">
        <v>0</v>
      </c>
      <c r="U64" s="49">
        <v>0</v>
      </c>
      <c r="V64" s="80">
        <f>+Q64</f>
        <v>47.87</v>
      </c>
      <c r="W64" s="51">
        <f>+Q64/K64</f>
        <v>0.47869999999999996</v>
      </c>
      <c r="X64" s="109">
        <v>30.49</v>
      </c>
      <c r="Y64" s="109"/>
      <c r="Z64" s="109"/>
      <c r="AA64" s="53">
        <v>44.38</v>
      </c>
      <c r="AB64" s="53"/>
      <c r="AC64" s="53"/>
      <c r="AD64" s="53">
        <v>47.87</v>
      </c>
      <c r="AE64" s="53"/>
      <c r="AF64" s="53"/>
      <c r="AG64" s="61">
        <v>0</v>
      </c>
      <c r="AH64" s="61"/>
      <c r="AI64" s="61"/>
      <c r="AJ64" s="85">
        <f>MAX(X64:AI64)</f>
        <v>47.87</v>
      </c>
      <c r="AK64" s="55">
        <f>+AJ64/P64</f>
        <v>0.60594936708860758</v>
      </c>
      <c r="AL64" s="45" t="s">
        <v>2574</v>
      </c>
      <c r="AM64" s="185" t="s">
        <v>2573</v>
      </c>
      <c r="AN64" s="79"/>
      <c r="AO64" s="86">
        <v>0</v>
      </c>
      <c r="AP64" s="86">
        <v>0</v>
      </c>
      <c r="AQ64" s="92">
        <v>45320000000</v>
      </c>
      <c r="AR64" s="93">
        <v>45075216945</v>
      </c>
      <c r="AS64" s="194">
        <v>76259396634</v>
      </c>
      <c r="AT64" s="194">
        <v>75470226765</v>
      </c>
    </row>
    <row r="65" spans="1:49" s="60" customFormat="1" ht="31.5" customHeight="1" x14ac:dyDescent="0.2">
      <c r="A65" s="42"/>
      <c r="B65" s="43"/>
      <c r="C65" s="44" t="s">
        <v>2272</v>
      </c>
      <c r="D65" s="44" t="s">
        <v>2425</v>
      </c>
      <c r="E65" s="44" t="s">
        <v>2429</v>
      </c>
      <c r="F65" s="79" t="s">
        <v>2433</v>
      </c>
      <c r="G65" s="44" t="s">
        <v>2457</v>
      </c>
      <c r="H65" s="44" t="s">
        <v>2431</v>
      </c>
      <c r="I65" s="44" t="s">
        <v>2388</v>
      </c>
      <c r="J65" s="45" t="s">
        <v>2259</v>
      </c>
      <c r="K65" s="72">
        <v>60</v>
      </c>
      <c r="L65" s="49">
        <v>20.28</v>
      </c>
      <c r="M65" s="47">
        <v>19.91</v>
      </c>
      <c r="N65" s="49">
        <v>23.69</v>
      </c>
      <c r="O65" s="49">
        <v>23.69</v>
      </c>
      <c r="P65" s="49">
        <v>33.729999999999997</v>
      </c>
      <c r="Q65" s="49">
        <v>33.130000000000003</v>
      </c>
      <c r="R65" s="49">
        <v>40.08</v>
      </c>
      <c r="S65" s="49">
        <v>0</v>
      </c>
      <c r="T65" s="49">
        <v>60</v>
      </c>
      <c r="U65" s="49">
        <v>0</v>
      </c>
      <c r="V65" s="106">
        <f>+Q65</f>
        <v>33.130000000000003</v>
      </c>
      <c r="W65" s="51">
        <f>+(V65-19.44)/(60-19.44)</f>
        <v>0.33752465483234717</v>
      </c>
      <c r="X65" s="109">
        <v>26.46</v>
      </c>
      <c r="Y65" s="109"/>
      <c r="Z65" s="109"/>
      <c r="AA65" s="53">
        <v>28.81</v>
      </c>
      <c r="AB65" s="53"/>
      <c r="AC65" s="53"/>
      <c r="AD65" s="53">
        <v>30.76</v>
      </c>
      <c r="AE65" s="53"/>
      <c r="AF65" s="53"/>
      <c r="AG65" s="53">
        <v>33.130000000000003</v>
      </c>
      <c r="AH65" s="53"/>
      <c r="AI65" s="53"/>
      <c r="AJ65" s="85">
        <f>+AG65</f>
        <v>33.130000000000003</v>
      </c>
      <c r="AK65" s="55">
        <f>+(AJ65-23.69)/(33.73-23.69)</f>
        <v>0.94023904382470169</v>
      </c>
      <c r="AL65" s="45" t="s">
        <v>2576</v>
      </c>
      <c r="AM65" s="45" t="s">
        <v>2575</v>
      </c>
      <c r="AN65" s="79"/>
      <c r="AO65" s="86">
        <v>432945</v>
      </c>
      <c r="AP65" s="86">
        <v>171196</v>
      </c>
      <c r="AQ65" s="92">
        <v>614939636004</v>
      </c>
      <c r="AR65" s="93">
        <v>609107500080</v>
      </c>
      <c r="AS65" s="194">
        <v>1168738221125</v>
      </c>
      <c r="AT65" s="194">
        <v>1132358645220</v>
      </c>
    </row>
    <row r="66" spans="1:49" s="60" customFormat="1" ht="31.5" customHeight="1" x14ac:dyDescent="0.2">
      <c r="A66" s="42"/>
      <c r="B66" s="43"/>
      <c r="C66" s="44" t="s">
        <v>2271</v>
      </c>
      <c r="D66" s="44" t="s">
        <v>2426</v>
      </c>
      <c r="E66" s="44" t="s">
        <v>2395</v>
      </c>
      <c r="F66" s="44" t="s">
        <v>2396</v>
      </c>
      <c r="G66" s="44" t="s">
        <v>2397</v>
      </c>
      <c r="H66" s="44" t="s">
        <v>2398</v>
      </c>
      <c r="I66" s="44" t="s">
        <v>2235</v>
      </c>
      <c r="J66" s="45" t="s">
        <v>2259</v>
      </c>
      <c r="K66" s="105">
        <v>4</v>
      </c>
      <c r="L66" s="49">
        <v>0</v>
      </c>
      <c r="M66" s="47">
        <v>0</v>
      </c>
      <c r="N66" s="49">
        <v>3</v>
      </c>
      <c r="O66" s="49">
        <v>3</v>
      </c>
      <c r="P66" s="49">
        <v>4</v>
      </c>
      <c r="Q66" s="49">
        <v>4</v>
      </c>
      <c r="R66" s="49">
        <v>0</v>
      </c>
      <c r="S66" s="49">
        <v>0</v>
      </c>
      <c r="T66" s="49">
        <v>0</v>
      </c>
      <c r="U66" s="49">
        <v>0</v>
      </c>
      <c r="V66" s="106">
        <f>+M66+Q66</f>
        <v>4</v>
      </c>
      <c r="W66" s="107">
        <f>+(Q66-1)/(K66-1)</f>
        <v>1</v>
      </c>
      <c r="X66" s="109">
        <v>3</v>
      </c>
      <c r="Y66" s="109"/>
      <c r="Z66" s="109"/>
      <c r="AA66" s="61">
        <v>3</v>
      </c>
      <c r="AB66" s="61"/>
      <c r="AC66" s="61"/>
      <c r="AD66" s="61">
        <v>4</v>
      </c>
      <c r="AE66" s="61"/>
      <c r="AF66" s="61"/>
      <c r="AG66" s="61">
        <v>4</v>
      </c>
      <c r="AH66" s="61"/>
      <c r="AI66" s="61"/>
      <c r="AJ66" s="85">
        <f>MAX(AA66,X66,AD66,AG66)</f>
        <v>4</v>
      </c>
      <c r="AK66" s="75">
        <f>+AJ66/P66</f>
        <v>1</v>
      </c>
      <c r="AL66" s="60" t="s">
        <v>2496</v>
      </c>
      <c r="AM66" s="60" t="s">
        <v>2498</v>
      </c>
      <c r="AN66" s="56" t="s">
        <v>2497</v>
      </c>
      <c r="AO66" s="57">
        <v>1124</v>
      </c>
      <c r="AP66" s="57">
        <v>1124</v>
      </c>
      <c r="AQ66" s="96">
        <v>499884520</v>
      </c>
      <c r="AR66" s="97">
        <v>499884520</v>
      </c>
      <c r="AS66" s="136">
        <v>892135260</v>
      </c>
      <c r="AT66" s="136">
        <v>892135259</v>
      </c>
    </row>
    <row r="67" spans="1:49" s="60" customFormat="1" ht="31.5" customHeight="1" x14ac:dyDescent="0.2">
      <c r="A67" s="42"/>
      <c r="B67" s="43"/>
      <c r="C67" s="44" t="s">
        <v>2271</v>
      </c>
      <c r="D67" s="44" t="s">
        <v>2426</v>
      </c>
      <c r="E67" s="44" t="s">
        <v>2395</v>
      </c>
      <c r="F67" s="44" t="s">
        <v>2479</v>
      </c>
      <c r="G67" s="44" t="s">
        <v>2397</v>
      </c>
      <c r="H67" s="44" t="s">
        <v>2470</v>
      </c>
      <c r="I67" s="44" t="s">
        <v>2235</v>
      </c>
      <c r="J67" s="45" t="s">
        <v>2261</v>
      </c>
      <c r="K67" s="105">
        <v>100</v>
      </c>
      <c r="L67" s="49">
        <v>0</v>
      </c>
      <c r="M67" s="47">
        <v>0</v>
      </c>
      <c r="N67" s="49">
        <v>45</v>
      </c>
      <c r="O67" s="49">
        <v>45</v>
      </c>
      <c r="P67" s="49">
        <v>20</v>
      </c>
      <c r="Q67" s="49">
        <v>19.55</v>
      </c>
      <c r="R67" s="49">
        <v>35</v>
      </c>
      <c r="S67" s="49">
        <v>0</v>
      </c>
      <c r="T67" s="49">
        <v>0</v>
      </c>
      <c r="U67" s="49">
        <v>0</v>
      </c>
      <c r="V67" s="106">
        <f>+M67+O67</f>
        <v>45</v>
      </c>
      <c r="W67" s="99">
        <f>+O67/K67</f>
        <v>0.45</v>
      </c>
      <c r="X67" s="109">
        <v>8</v>
      </c>
      <c r="Y67" s="109"/>
      <c r="Z67" s="109"/>
      <c r="AA67" s="53">
        <v>6.85</v>
      </c>
      <c r="AB67" s="53"/>
      <c r="AC67" s="53"/>
      <c r="AD67" s="53">
        <v>19.55</v>
      </c>
      <c r="AE67" s="53"/>
      <c r="AF67" s="53"/>
      <c r="AG67" s="61">
        <v>20</v>
      </c>
      <c r="AH67" s="61"/>
      <c r="AI67" s="61"/>
      <c r="AJ67" s="85">
        <v>20</v>
      </c>
      <c r="AK67" s="95">
        <f>+AJ67/P67</f>
        <v>1</v>
      </c>
      <c r="AN67" s="56"/>
      <c r="AO67" s="57"/>
      <c r="AP67" s="57"/>
      <c r="AQ67" s="96"/>
      <c r="AR67" s="97"/>
      <c r="AS67" s="136"/>
      <c r="AT67" s="136"/>
      <c r="AU67" s="125"/>
      <c r="AV67" s="126"/>
      <c r="AW67" s="127"/>
    </row>
    <row r="68" spans="1:49" s="60" customFormat="1" ht="31.5" customHeight="1" x14ac:dyDescent="0.2">
      <c r="A68" s="42"/>
      <c r="B68" s="43"/>
      <c r="C68" s="186" t="s">
        <v>2435</v>
      </c>
      <c r="D68" s="44" t="s">
        <v>2426</v>
      </c>
      <c r="E68" s="44" t="s">
        <v>2395</v>
      </c>
      <c r="F68" s="44" t="s">
        <v>2462</v>
      </c>
      <c r="G68" s="44" t="s">
        <v>2461</v>
      </c>
      <c r="H68" s="44" t="s">
        <v>2455</v>
      </c>
      <c r="I68" s="44" t="s">
        <v>2235</v>
      </c>
      <c r="J68" s="44" t="s">
        <v>2260</v>
      </c>
      <c r="K68" s="105">
        <v>15</v>
      </c>
      <c r="L68" s="49">
        <v>26</v>
      </c>
      <c r="M68" s="47">
        <v>26</v>
      </c>
      <c r="N68" s="49">
        <v>25</v>
      </c>
      <c r="O68" s="49">
        <v>26</v>
      </c>
      <c r="P68" s="49">
        <v>23</v>
      </c>
      <c r="Q68" s="49">
        <v>26</v>
      </c>
      <c r="R68" s="49">
        <v>20</v>
      </c>
      <c r="S68" s="49">
        <v>0</v>
      </c>
      <c r="T68" s="49">
        <v>15</v>
      </c>
      <c r="U68" s="49">
        <v>0</v>
      </c>
      <c r="V68" s="106">
        <v>0</v>
      </c>
      <c r="W68" s="51">
        <v>0</v>
      </c>
      <c r="X68" s="109">
        <v>26</v>
      </c>
      <c r="Y68" s="109"/>
      <c r="Z68" s="109"/>
      <c r="AA68" s="100">
        <v>26</v>
      </c>
      <c r="AB68" s="100"/>
      <c r="AC68" s="100"/>
      <c r="AD68" s="100">
        <v>26</v>
      </c>
      <c r="AE68" s="100"/>
      <c r="AF68" s="100"/>
      <c r="AG68" s="100">
        <v>26</v>
      </c>
      <c r="AH68" s="100"/>
      <c r="AI68" s="100"/>
      <c r="AJ68" s="128">
        <f>+AD68</f>
        <v>26</v>
      </c>
      <c r="AK68" s="95">
        <v>0</v>
      </c>
      <c r="AL68" s="179" t="s">
        <v>2577</v>
      </c>
      <c r="AM68" s="56" t="s">
        <v>2579</v>
      </c>
      <c r="AN68" s="56" t="s">
        <v>2578</v>
      </c>
      <c r="AO68" s="118">
        <v>2850</v>
      </c>
      <c r="AP68" s="118">
        <v>2850</v>
      </c>
      <c r="AQ68" s="96">
        <v>4342833460</v>
      </c>
      <c r="AR68" s="97">
        <v>4335522833</v>
      </c>
      <c r="AS68" s="193">
        <v>3155509055</v>
      </c>
      <c r="AT68" s="193">
        <v>3155509050</v>
      </c>
    </row>
    <row r="69" spans="1:49" s="60" customFormat="1" ht="31.5" customHeight="1" x14ac:dyDescent="0.2">
      <c r="A69" s="42"/>
      <c r="B69" s="43"/>
      <c r="C69" s="186" t="s">
        <v>2435</v>
      </c>
      <c r="D69" s="44" t="s">
        <v>2426</v>
      </c>
      <c r="E69" s="44" t="s">
        <v>2395</v>
      </c>
      <c r="F69" s="44" t="s">
        <v>2454</v>
      </c>
      <c r="G69" s="44" t="s">
        <v>2461</v>
      </c>
      <c r="H69" s="44" t="s">
        <v>2456</v>
      </c>
      <c r="I69" s="44" t="s">
        <v>2235</v>
      </c>
      <c r="J69" s="45" t="s">
        <v>2260</v>
      </c>
      <c r="K69" s="105">
        <v>15</v>
      </c>
      <c r="L69" s="49">
        <v>24</v>
      </c>
      <c r="M69" s="47">
        <v>24</v>
      </c>
      <c r="N69" s="49">
        <v>23.5</v>
      </c>
      <c r="O69" s="49">
        <v>24</v>
      </c>
      <c r="P69" s="49">
        <v>23</v>
      </c>
      <c r="Q69" s="49">
        <v>24</v>
      </c>
      <c r="R69" s="49">
        <v>20</v>
      </c>
      <c r="S69" s="49">
        <v>0</v>
      </c>
      <c r="T69" s="49">
        <v>15</v>
      </c>
      <c r="U69" s="49">
        <v>0</v>
      </c>
      <c r="V69" s="106">
        <v>0</v>
      </c>
      <c r="W69" s="51">
        <v>0</v>
      </c>
      <c r="X69" s="109">
        <v>24</v>
      </c>
      <c r="Y69" s="109"/>
      <c r="Z69" s="109"/>
      <c r="AA69" s="100">
        <v>24</v>
      </c>
      <c r="AB69" s="100"/>
      <c r="AC69" s="100"/>
      <c r="AD69" s="100">
        <v>24</v>
      </c>
      <c r="AE69" s="100"/>
      <c r="AF69" s="100"/>
      <c r="AG69" s="100">
        <v>24</v>
      </c>
      <c r="AH69" s="100"/>
      <c r="AI69" s="100"/>
      <c r="AJ69" s="128">
        <f>+AD69</f>
        <v>24</v>
      </c>
      <c r="AK69" s="95">
        <v>0</v>
      </c>
      <c r="AL69" s="180"/>
      <c r="AM69" s="56"/>
      <c r="AN69" s="56"/>
      <c r="AO69" s="118"/>
      <c r="AP69" s="118"/>
      <c r="AQ69" s="96"/>
      <c r="AR69" s="97"/>
      <c r="AS69" s="193"/>
      <c r="AT69" s="193"/>
    </row>
    <row r="70" spans="1:49" s="60" customFormat="1" ht="31.5" customHeight="1" x14ac:dyDescent="0.2">
      <c r="A70" s="42"/>
      <c r="B70" s="43"/>
      <c r="C70" s="44" t="s">
        <v>2393</v>
      </c>
      <c r="D70" s="44" t="s">
        <v>2427</v>
      </c>
      <c r="E70" s="44" t="s">
        <v>2400</v>
      </c>
      <c r="F70" s="44" t="s">
        <v>2399</v>
      </c>
      <c r="G70" s="44" t="s">
        <v>2403</v>
      </c>
      <c r="H70" s="44" t="s">
        <v>2401</v>
      </c>
      <c r="I70" s="44" t="s">
        <v>2235</v>
      </c>
      <c r="J70" s="45" t="s">
        <v>2259</v>
      </c>
      <c r="K70" s="72">
        <v>1320551</v>
      </c>
      <c r="L70" s="49">
        <v>880367</v>
      </c>
      <c r="M70" s="102">
        <v>880367</v>
      </c>
      <c r="N70" s="49">
        <v>880368</v>
      </c>
      <c r="O70" s="49">
        <v>880367</v>
      </c>
      <c r="P70" s="49">
        <v>880368</v>
      </c>
      <c r="Q70" s="49">
        <v>880367</v>
      </c>
      <c r="R70" s="49">
        <v>1320551</v>
      </c>
      <c r="S70" s="49">
        <v>0</v>
      </c>
      <c r="T70" s="49">
        <v>1320551</v>
      </c>
      <c r="U70" s="49">
        <v>0</v>
      </c>
      <c r="V70" s="80">
        <f>+O70</f>
        <v>880367</v>
      </c>
      <c r="W70" s="51">
        <f>+V70/K70</f>
        <v>0.6666664142467803</v>
      </c>
      <c r="X70" s="109">
        <v>880367</v>
      </c>
      <c r="Y70" s="109"/>
      <c r="Z70" s="109"/>
      <c r="AA70" s="61">
        <v>880367</v>
      </c>
      <c r="AB70" s="61"/>
      <c r="AC70" s="61"/>
      <c r="AD70" s="61">
        <v>880367</v>
      </c>
      <c r="AE70" s="61"/>
      <c r="AF70" s="61"/>
      <c r="AG70" s="61">
        <v>880367</v>
      </c>
      <c r="AH70" s="61"/>
      <c r="AI70" s="61"/>
      <c r="AJ70" s="128">
        <f>MAX(X70,AA70,AD70,AG70)</f>
        <v>880367</v>
      </c>
      <c r="AK70" s="95">
        <f>+AJ70/N70</f>
        <v>0.99999886411137162</v>
      </c>
      <c r="AL70" s="129" t="s">
        <v>2500</v>
      </c>
      <c r="AM70" s="185" t="s">
        <v>2499</v>
      </c>
      <c r="AN70" s="130" t="s">
        <v>2501</v>
      </c>
      <c r="AO70" s="86">
        <v>418</v>
      </c>
      <c r="AP70" s="86">
        <v>418</v>
      </c>
      <c r="AQ70" s="87">
        <v>3171724313</v>
      </c>
      <c r="AR70" s="88">
        <v>3171724313</v>
      </c>
      <c r="AS70" s="197">
        <v>2773192185</v>
      </c>
      <c r="AT70" s="197">
        <v>2773192185</v>
      </c>
    </row>
    <row r="71" spans="1:49" s="60" customFormat="1" ht="31.5" customHeight="1" x14ac:dyDescent="0.2">
      <c r="A71" s="42"/>
      <c r="B71" s="43"/>
      <c r="C71" s="186" t="s">
        <v>2436</v>
      </c>
      <c r="D71" s="186" t="s">
        <v>2427</v>
      </c>
      <c r="E71" s="186" t="s">
        <v>2400</v>
      </c>
      <c r="F71" s="44" t="s">
        <v>2402</v>
      </c>
      <c r="G71" s="44" t="s">
        <v>2458</v>
      </c>
      <c r="H71" s="44" t="s">
        <v>2404</v>
      </c>
      <c r="I71" s="44" t="s">
        <v>2235</v>
      </c>
      <c r="J71" s="45" t="s">
        <v>2259</v>
      </c>
      <c r="K71" s="105">
        <v>6500</v>
      </c>
      <c r="L71" s="49">
        <v>2400</v>
      </c>
      <c r="M71" s="47">
        <v>3586</v>
      </c>
      <c r="N71" s="49">
        <v>4894</v>
      </c>
      <c r="O71" s="49">
        <v>4894</v>
      </c>
      <c r="P71" s="49">
        <v>7367</v>
      </c>
      <c r="Q71" s="49">
        <v>7367</v>
      </c>
      <c r="R71" s="49">
        <v>8000</v>
      </c>
      <c r="S71" s="49">
        <v>0</v>
      </c>
      <c r="T71" s="49">
        <v>8500</v>
      </c>
      <c r="U71" s="49">
        <v>0</v>
      </c>
      <c r="V71" s="106">
        <f>+Q71</f>
        <v>7367</v>
      </c>
      <c r="W71" s="51">
        <f>+(Q71-2112)/(6500-2112)</f>
        <v>1.197584320875114</v>
      </c>
      <c r="X71" s="109">
        <v>5463</v>
      </c>
      <c r="Y71" s="109"/>
      <c r="Z71" s="109"/>
      <c r="AA71" s="61">
        <v>6015</v>
      </c>
      <c r="AB71" s="61"/>
      <c r="AC71" s="61"/>
      <c r="AD71" s="61">
        <v>6634</v>
      </c>
      <c r="AE71" s="61"/>
      <c r="AF71" s="61"/>
      <c r="AG71" s="61">
        <v>7367</v>
      </c>
      <c r="AH71" s="61"/>
      <c r="AI71" s="61"/>
      <c r="AJ71" s="131">
        <v>7367</v>
      </c>
      <c r="AK71" s="95">
        <f>+(AG71-N71)/(P71-O71)</f>
        <v>1</v>
      </c>
      <c r="AL71" s="181" t="s">
        <v>2502</v>
      </c>
      <c r="AM71" s="133" t="s">
        <v>2499</v>
      </c>
      <c r="AN71" s="132" t="s">
        <v>2503</v>
      </c>
      <c r="AO71" s="57">
        <v>45</v>
      </c>
      <c r="AP71" s="57">
        <v>45</v>
      </c>
      <c r="AQ71" s="134">
        <v>196086823</v>
      </c>
      <c r="AR71" s="135">
        <v>196086823</v>
      </c>
      <c r="AS71" s="136">
        <v>188364487</v>
      </c>
      <c r="AT71" s="136">
        <v>188364487</v>
      </c>
    </row>
    <row r="72" spans="1:49" s="60" customFormat="1" ht="31.5" customHeight="1" x14ac:dyDescent="0.2">
      <c r="A72" s="42"/>
      <c r="B72" s="43"/>
      <c r="C72" s="186" t="s">
        <v>2436</v>
      </c>
      <c r="D72" s="186" t="s">
        <v>2427</v>
      </c>
      <c r="E72" s="186" t="s">
        <v>2400</v>
      </c>
      <c r="F72" s="44" t="s">
        <v>2463</v>
      </c>
      <c r="G72" s="44" t="s">
        <v>2458</v>
      </c>
      <c r="H72" s="44" t="s">
        <v>2459</v>
      </c>
      <c r="I72" s="44" t="s">
        <v>2235</v>
      </c>
      <c r="J72" s="45" t="s">
        <v>2261</v>
      </c>
      <c r="K72" s="105">
        <v>20</v>
      </c>
      <c r="L72" s="49">
        <v>0</v>
      </c>
      <c r="M72" s="47">
        <v>0</v>
      </c>
      <c r="N72" s="49">
        <v>4</v>
      </c>
      <c r="O72" s="49">
        <v>4</v>
      </c>
      <c r="P72" s="49">
        <v>0</v>
      </c>
      <c r="Q72" s="49">
        <v>0</v>
      </c>
      <c r="R72" s="49">
        <v>16</v>
      </c>
      <c r="S72" s="49">
        <v>0</v>
      </c>
      <c r="T72" s="49"/>
      <c r="U72" s="49">
        <v>0</v>
      </c>
      <c r="V72" s="106">
        <f>N72+Q72+S72+U72</f>
        <v>4</v>
      </c>
      <c r="W72" s="51">
        <f>V72/K72</f>
        <v>0.2</v>
      </c>
      <c r="X72" s="61">
        <v>0</v>
      </c>
      <c r="Y72" s="61"/>
      <c r="Z72" s="61"/>
      <c r="AA72" s="61">
        <v>0</v>
      </c>
      <c r="AB72" s="61"/>
      <c r="AC72" s="61"/>
      <c r="AD72" s="61">
        <v>0</v>
      </c>
      <c r="AE72" s="61"/>
      <c r="AF72" s="61"/>
      <c r="AG72" s="61">
        <v>0</v>
      </c>
      <c r="AH72" s="61"/>
      <c r="AI72" s="61"/>
      <c r="AJ72" s="112">
        <v>0</v>
      </c>
      <c r="AK72" s="112">
        <v>0</v>
      </c>
      <c r="AL72" s="182"/>
      <c r="AM72" s="133"/>
      <c r="AN72" s="132"/>
      <c r="AO72" s="57"/>
      <c r="AP72" s="57"/>
      <c r="AQ72" s="134"/>
      <c r="AR72" s="135"/>
      <c r="AS72" s="136"/>
      <c r="AT72" s="136"/>
    </row>
    <row r="73" spans="1:49" s="60" customFormat="1" ht="31.5" customHeight="1" x14ac:dyDescent="0.2">
      <c r="A73" s="42"/>
      <c r="B73" s="43"/>
      <c r="C73" s="44" t="s">
        <v>2393</v>
      </c>
      <c r="D73" s="44" t="s">
        <v>2427</v>
      </c>
      <c r="E73" s="44" t="s">
        <v>2400</v>
      </c>
      <c r="F73" s="44" t="s">
        <v>2405</v>
      </c>
      <c r="G73" s="44" t="s">
        <v>2406</v>
      </c>
      <c r="H73" s="44" t="s">
        <v>2407</v>
      </c>
      <c r="I73" s="44" t="s">
        <v>2235</v>
      </c>
      <c r="J73" s="45" t="s">
        <v>2261</v>
      </c>
      <c r="K73" s="105">
        <v>100</v>
      </c>
      <c r="L73" s="49">
        <v>5</v>
      </c>
      <c r="M73" s="47">
        <v>5</v>
      </c>
      <c r="N73" s="49">
        <v>30</v>
      </c>
      <c r="O73" s="49">
        <v>30</v>
      </c>
      <c r="P73" s="49">
        <v>30</v>
      </c>
      <c r="Q73" s="49">
        <v>30</v>
      </c>
      <c r="R73" s="49">
        <v>30</v>
      </c>
      <c r="S73" s="49">
        <v>0</v>
      </c>
      <c r="T73" s="49">
        <v>5</v>
      </c>
      <c r="U73" s="49">
        <v>0</v>
      </c>
      <c r="V73" s="106">
        <f>M73+O73+Q73</f>
        <v>65</v>
      </c>
      <c r="W73" s="99">
        <f>+V73/K73</f>
        <v>0.65</v>
      </c>
      <c r="X73" s="109">
        <v>18.75</v>
      </c>
      <c r="Y73" s="109"/>
      <c r="Z73" s="109"/>
      <c r="AA73" s="53">
        <v>26.25</v>
      </c>
      <c r="AB73" s="53"/>
      <c r="AC73" s="53"/>
      <c r="AD73" s="53">
        <v>26.25</v>
      </c>
      <c r="AE73" s="53"/>
      <c r="AF73" s="53"/>
      <c r="AG73" s="61">
        <v>30</v>
      </c>
      <c r="AH73" s="61"/>
      <c r="AI73" s="61"/>
      <c r="AJ73" s="128">
        <v>30</v>
      </c>
      <c r="AK73" s="95">
        <f>+AJ73/N73</f>
        <v>1</v>
      </c>
      <c r="AL73" s="79" t="s">
        <v>2508</v>
      </c>
      <c r="AM73" s="185" t="s">
        <v>2507</v>
      </c>
      <c r="AN73" s="79" t="s">
        <v>2509</v>
      </c>
      <c r="AO73" s="86">
        <v>68</v>
      </c>
      <c r="AP73" s="86">
        <v>68</v>
      </c>
      <c r="AQ73" s="87">
        <v>332917056</v>
      </c>
      <c r="AR73" s="88">
        <v>332917056</v>
      </c>
      <c r="AS73" s="196">
        <v>608601526</v>
      </c>
      <c r="AT73" s="196">
        <v>608601526</v>
      </c>
    </row>
    <row r="74" spans="1:49" s="60" customFormat="1" ht="31.5" customHeight="1" x14ac:dyDescent="0.2">
      <c r="A74" s="42"/>
      <c r="B74" s="43"/>
      <c r="C74" s="44" t="s">
        <v>2436</v>
      </c>
      <c r="D74" s="44" t="s">
        <v>2427</v>
      </c>
      <c r="E74" s="44" t="s">
        <v>2400</v>
      </c>
      <c r="F74" s="44" t="s">
        <v>2481</v>
      </c>
      <c r="G74" s="44" t="s">
        <v>2408</v>
      </c>
      <c r="H74" s="44" t="s">
        <v>2464</v>
      </c>
      <c r="I74" s="44" t="s">
        <v>2437</v>
      </c>
      <c r="J74" s="45" t="s">
        <v>2260</v>
      </c>
      <c r="K74" s="105">
        <v>33.9</v>
      </c>
      <c r="L74" s="49">
        <v>0</v>
      </c>
      <c r="M74" s="47">
        <v>0</v>
      </c>
      <c r="N74" s="49">
        <v>37.799999999999997</v>
      </c>
      <c r="O74" s="49">
        <v>35.4</v>
      </c>
      <c r="P74" s="49">
        <v>36.9</v>
      </c>
      <c r="Q74" s="49">
        <v>37.1</v>
      </c>
      <c r="R74" s="49">
        <v>34.700000000000003</v>
      </c>
      <c r="S74" s="49">
        <v>0</v>
      </c>
      <c r="T74" s="49">
        <v>33.9</v>
      </c>
      <c r="U74" s="49">
        <v>0</v>
      </c>
      <c r="V74" s="137">
        <f>Q74</f>
        <v>37.1</v>
      </c>
      <c r="W74" s="51">
        <f>(38.3-Q74)/(38.3-T74)</f>
        <v>0.27272727272727182</v>
      </c>
      <c r="X74" s="89">
        <v>35.6</v>
      </c>
      <c r="Y74" s="89"/>
      <c r="Z74" s="89"/>
      <c r="AA74" s="89">
        <v>36.6</v>
      </c>
      <c r="AB74" s="89"/>
      <c r="AC74" s="89"/>
      <c r="AD74" s="89">
        <v>36.9</v>
      </c>
      <c r="AE74" s="89"/>
      <c r="AF74" s="89"/>
      <c r="AG74" s="89">
        <v>37.1</v>
      </c>
      <c r="AH74" s="89"/>
      <c r="AI74" s="89"/>
      <c r="AJ74" s="138">
        <f>AG74</f>
        <v>37.1</v>
      </c>
      <c r="AK74" s="75">
        <v>0</v>
      </c>
      <c r="AL74" s="183" t="s">
        <v>2510</v>
      </c>
      <c r="AM74" s="65" t="s">
        <v>2499</v>
      </c>
      <c r="AN74" s="65" t="s">
        <v>2511</v>
      </c>
      <c r="AO74" s="57">
        <v>127</v>
      </c>
      <c r="AP74" s="57">
        <v>127</v>
      </c>
      <c r="AQ74" s="96">
        <v>1003321599</v>
      </c>
      <c r="AR74" s="97">
        <v>1003321599</v>
      </c>
      <c r="AS74" s="195">
        <v>1785610883</v>
      </c>
      <c r="AT74" s="195">
        <v>1785422570</v>
      </c>
    </row>
    <row r="75" spans="1:49" s="60" customFormat="1" ht="31.5" customHeight="1" x14ac:dyDescent="0.2">
      <c r="A75" s="42"/>
      <c r="B75" s="43"/>
      <c r="C75" s="44" t="s">
        <v>2436</v>
      </c>
      <c r="D75" s="44" t="s">
        <v>2427</v>
      </c>
      <c r="E75" s="44" t="s">
        <v>2400</v>
      </c>
      <c r="F75" s="44" t="s">
        <v>2480</v>
      </c>
      <c r="G75" s="44" t="s">
        <v>2408</v>
      </c>
      <c r="H75" s="44" t="s">
        <v>2465</v>
      </c>
      <c r="I75" s="44" t="s">
        <v>2437</v>
      </c>
      <c r="J75" s="45" t="s">
        <v>2260</v>
      </c>
      <c r="K75" s="72">
        <v>17.3</v>
      </c>
      <c r="L75" s="49">
        <v>0</v>
      </c>
      <c r="M75" s="47">
        <v>0</v>
      </c>
      <c r="N75" s="49">
        <v>19.5</v>
      </c>
      <c r="O75" s="49">
        <v>18.3</v>
      </c>
      <c r="P75" s="49">
        <v>19</v>
      </c>
      <c r="Q75" s="49">
        <v>19.100000000000001</v>
      </c>
      <c r="R75" s="49">
        <v>17.8</v>
      </c>
      <c r="S75" s="49">
        <v>0</v>
      </c>
      <c r="T75" s="49">
        <v>17.3</v>
      </c>
      <c r="U75" s="49">
        <v>0</v>
      </c>
      <c r="V75" s="137">
        <f>Q75</f>
        <v>19.100000000000001</v>
      </c>
      <c r="W75" s="51">
        <f>(19.7-Q75)/(19.7-T75)</f>
        <v>0.24999999999999925</v>
      </c>
      <c r="X75" s="89">
        <v>18.5</v>
      </c>
      <c r="Y75" s="89"/>
      <c r="Z75" s="89"/>
      <c r="AA75" s="89">
        <v>18.8</v>
      </c>
      <c r="AB75" s="89"/>
      <c r="AC75" s="89"/>
      <c r="AD75" s="61">
        <v>19</v>
      </c>
      <c r="AE75" s="61"/>
      <c r="AF75" s="61"/>
      <c r="AG75" s="89">
        <v>19.100000000000001</v>
      </c>
      <c r="AH75" s="89"/>
      <c r="AI75" s="89"/>
      <c r="AJ75" s="138">
        <f>AG75</f>
        <v>19.100000000000001</v>
      </c>
      <c r="AK75" s="75">
        <v>0</v>
      </c>
      <c r="AL75" s="184"/>
      <c r="AM75" s="65"/>
      <c r="AN75" s="65"/>
      <c r="AO75" s="57"/>
      <c r="AP75" s="57"/>
      <c r="AQ75" s="96"/>
      <c r="AR75" s="97"/>
      <c r="AS75" s="195"/>
      <c r="AT75" s="195"/>
    </row>
    <row r="76" spans="1:49" s="60" customFormat="1" ht="31.5" customHeight="1" x14ac:dyDescent="0.2">
      <c r="A76" s="42"/>
      <c r="B76" s="43"/>
      <c r="C76" s="44" t="s">
        <v>2393</v>
      </c>
      <c r="D76" s="44" t="s">
        <v>2427</v>
      </c>
      <c r="E76" s="44" t="s">
        <v>2400</v>
      </c>
      <c r="F76" s="139" t="s">
        <v>2409</v>
      </c>
      <c r="G76" s="44" t="s">
        <v>2471</v>
      </c>
      <c r="H76" s="44" t="s">
        <v>2460</v>
      </c>
      <c r="I76" s="44" t="s">
        <v>2235</v>
      </c>
      <c r="J76" s="45" t="s">
        <v>2261</v>
      </c>
      <c r="K76" s="72">
        <f>+L76+N76+P76+R76+T76</f>
        <v>100</v>
      </c>
      <c r="L76" s="49">
        <v>0</v>
      </c>
      <c r="M76" s="47">
        <v>0</v>
      </c>
      <c r="N76" s="49">
        <v>35</v>
      </c>
      <c r="O76" s="49">
        <v>35</v>
      </c>
      <c r="P76" s="49">
        <v>35</v>
      </c>
      <c r="Q76" s="49">
        <v>35</v>
      </c>
      <c r="R76" s="49">
        <v>25</v>
      </c>
      <c r="S76" s="49">
        <v>0</v>
      </c>
      <c r="T76" s="49">
        <v>5</v>
      </c>
      <c r="U76" s="49">
        <v>0</v>
      </c>
      <c r="V76" s="80">
        <f>+Q76</f>
        <v>35</v>
      </c>
      <c r="W76" s="51">
        <f>Q76/K76</f>
        <v>0.35</v>
      </c>
      <c r="X76" s="53">
        <v>21.88</v>
      </c>
      <c r="Y76" s="53"/>
      <c r="Z76" s="53"/>
      <c r="AA76" s="53">
        <v>26.25</v>
      </c>
      <c r="AB76" s="53"/>
      <c r="AC76" s="53"/>
      <c r="AD76" s="53">
        <v>30.62</v>
      </c>
      <c r="AE76" s="53"/>
      <c r="AF76" s="53"/>
      <c r="AG76" s="61">
        <v>35</v>
      </c>
      <c r="AH76" s="61"/>
      <c r="AI76" s="61"/>
      <c r="AJ76" s="128">
        <f>MAX(AD76,AG76,X76,AA76)</f>
        <v>35</v>
      </c>
      <c r="AK76" s="55">
        <f>AJ76/P76</f>
        <v>1</v>
      </c>
      <c r="AL76" s="130" t="s">
        <v>2505</v>
      </c>
      <c r="AM76" s="185" t="s">
        <v>2504</v>
      </c>
      <c r="AN76" s="130" t="s">
        <v>2506</v>
      </c>
      <c r="AO76" s="86">
        <v>0</v>
      </c>
      <c r="AP76" s="86">
        <v>0</v>
      </c>
      <c r="AQ76" s="87">
        <v>6984356</v>
      </c>
      <c r="AR76" s="88">
        <v>6984356</v>
      </c>
      <c r="AS76" s="197">
        <v>434612500</v>
      </c>
      <c r="AT76" s="197">
        <v>434612500</v>
      </c>
    </row>
    <row r="77" spans="1:49" s="60" customFormat="1" ht="10.5" customHeight="1" x14ac:dyDescent="0.2">
      <c r="A77" s="42"/>
      <c r="B77" s="42"/>
      <c r="C77" s="140" t="s">
        <v>2275</v>
      </c>
      <c r="D77" s="140"/>
      <c r="E77" s="141" t="s">
        <v>2276</v>
      </c>
      <c r="F77" s="141"/>
      <c r="G77" s="141"/>
      <c r="H77" s="141"/>
      <c r="I77" s="142" t="s">
        <v>2277</v>
      </c>
      <c r="J77" s="142"/>
      <c r="K77" s="142"/>
      <c r="L77" s="143">
        <v>2020</v>
      </c>
      <c r="M77" s="143"/>
      <c r="N77" s="143">
        <v>2021</v>
      </c>
      <c r="O77" s="143"/>
      <c r="P77" s="143">
        <v>2022</v>
      </c>
      <c r="Q77" s="143"/>
      <c r="R77" s="143">
        <v>2023</v>
      </c>
      <c r="S77" s="143"/>
      <c r="T77" s="143">
        <v>2024</v>
      </c>
      <c r="U77" s="143"/>
      <c r="V77" s="140" t="s">
        <v>2240</v>
      </c>
      <c r="W77" s="144"/>
      <c r="X77" s="145"/>
      <c r="Y77" s="145"/>
      <c r="Z77" s="145"/>
      <c r="AA77" s="145"/>
      <c r="AB77" s="145"/>
      <c r="AC77" s="145"/>
      <c r="AD77" s="145"/>
      <c r="AE77" s="145"/>
      <c r="AF77" s="145"/>
      <c r="AG77" s="145"/>
      <c r="AH77" s="145"/>
      <c r="AI77" s="145"/>
      <c r="AJ77" s="11"/>
      <c r="AK77" s="146"/>
      <c r="AL77" s="178"/>
      <c r="AM77" s="178"/>
      <c r="AN77" s="178"/>
      <c r="AO77" s="147"/>
      <c r="AP77" s="147"/>
      <c r="AQ77" s="148"/>
      <c r="AR77" s="149"/>
      <c r="AS77" s="148"/>
      <c r="AT77" s="148"/>
    </row>
    <row r="78" spans="1:49" s="60" customFormat="1" ht="10.5" customHeight="1" x14ac:dyDescent="0.2">
      <c r="A78" s="42"/>
      <c r="B78" s="42"/>
      <c r="C78" s="79" t="s">
        <v>2278</v>
      </c>
      <c r="D78" s="79"/>
      <c r="E78" s="150" t="s">
        <v>2279</v>
      </c>
      <c r="F78" s="150"/>
      <c r="G78" s="150"/>
      <c r="H78" s="150"/>
      <c r="I78" s="65" t="s">
        <v>2236</v>
      </c>
      <c r="J78" s="65"/>
      <c r="K78" s="65"/>
      <c r="L78" s="151">
        <v>1.32</v>
      </c>
      <c r="M78" s="151"/>
      <c r="N78" s="152">
        <v>1.58</v>
      </c>
      <c r="O78" s="152"/>
      <c r="P78" s="153">
        <v>0</v>
      </c>
      <c r="Q78" s="153"/>
      <c r="R78" s="153"/>
      <c r="S78" s="153"/>
      <c r="T78" s="153">
        <v>0</v>
      </c>
      <c r="U78" s="153"/>
      <c r="V78" s="154">
        <f>AVERAGE(L78)</f>
        <v>1.32</v>
      </c>
      <c r="W78" s="155"/>
      <c r="X78" s="11"/>
      <c r="Y78" s="11"/>
      <c r="Z78" s="11"/>
      <c r="AA78" s="11"/>
      <c r="AB78" s="11"/>
      <c r="AC78" s="11"/>
      <c r="AD78" s="11"/>
      <c r="AE78" s="11"/>
      <c r="AF78" s="11"/>
      <c r="AG78" s="11"/>
      <c r="AH78" s="11"/>
      <c r="AI78" s="11"/>
      <c r="AJ78" s="11"/>
      <c r="AK78" s="11"/>
      <c r="AL78" s="178"/>
      <c r="AM78" s="178"/>
      <c r="AN78" s="178"/>
      <c r="AO78" s="156"/>
      <c r="AP78" s="156"/>
      <c r="AQ78" s="148"/>
      <c r="AR78" s="149"/>
      <c r="AS78" s="148"/>
      <c r="AT78" s="148"/>
    </row>
    <row r="79" spans="1:49" s="60" customFormat="1" ht="10.5" customHeight="1" x14ac:dyDescent="0.2">
      <c r="A79" s="42"/>
      <c r="B79" s="42"/>
      <c r="C79" s="79" t="s">
        <v>2280</v>
      </c>
      <c r="D79" s="79"/>
      <c r="E79" s="65" t="s">
        <v>2281</v>
      </c>
      <c r="F79" s="65"/>
      <c r="G79" s="65"/>
      <c r="H79" s="65"/>
      <c r="I79" s="65" t="s">
        <v>2236</v>
      </c>
      <c r="J79" s="65"/>
      <c r="K79" s="65"/>
      <c r="L79" s="151">
        <v>15.2</v>
      </c>
      <c r="M79" s="151"/>
      <c r="N79" s="153">
        <v>15.5</v>
      </c>
      <c r="O79" s="153"/>
      <c r="P79" s="153">
        <v>0</v>
      </c>
      <c r="Q79" s="153"/>
      <c r="R79" s="153"/>
      <c r="S79" s="153"/>
      <c r="T79" s="153">
        <v>0</v>
      </c>
      <c r="U79" s="153"/>
      <c r="V79" s="154">
        <f t="shared" ref="V79:V90" si="18">AVERAGE(L79)</f>
        <v>15.2</v>
      </c>
      <c r="W79" s="155"/>
      <c r="X79" s="11"/>
      <c r="Y79" s="11"/>
      <c r="Z79" s="11"/>
      <c r="AA79" s="11"/>
      <c r="AB79" s="11"/>
      <c r="AC79" s="11"/>
      <c r="AD79" s="11"/>
      <c r="AE79" s="11"/>
      <c r="AF79" s="11"/>
      <c r="AG79" s="11"/>
      <c r="AH79" s="11"/>
      <c r="AI79" s="11"/>
      <c r="AJ79" s="11"/>
      <c r="AK79" s="11"/>
      <c r="AL79" s="178"/>
      <c r="AM79" s="178"/>
      <c r="AN79" s="178"/>
      <c r="AO79" s="156"/>
      <c r="AP79" s="156"/>
      <c r="AQ79" s="148"/>
      <c r="AR79" s="149"/>
      <c r="AS79" s="148"/>
      <c r="AT79" s="148"/>
    </row>
    <row r="80" spans="1:49" s="60" customFormat="1" ht="10.5" customHeight="1" x14ac:dyDescent="0.2">
      <c r="A80" s="42"/>
      <c r="B80" s="42"/>
      <c r="C80" s="79" t="s">
        <v>2282</v>
      </c>
      <c r="D80" s="79"/>
      <c r="E80" s="65" t="s">
        <v>2283</v>
      </c>
      <c r="F80" s="65"/>
      <c r="G80" s="65"/>
      <c r="H80" s="65"/>
      <c r="I80" s="65" t="s">
        <v>2235</v>
      </c>
      <c r="J80" s="65"/>
      <c r="K80" s="65"/>
      <c r="L80" s="157">
        <v>0.63200000000000001</v>
      </c>
      <c r="M80" s="157"/>
      <c r="N80" s="158">
        <v>63.2</v>
      </c>
      <c r="O80" s="158"/>
      <c r="P80" s="153">
        <v>0</v>
      </c>
      <c r="Q80" s="153"/>
      <c r="R80" s="153"/>
      <c r="S80" s="153"/>
      <c r="T80" s="153">
        <v>0</v>
      </c>
      <c r="U80" s="153"/>
      <c r="V80" s="154">
        <f t="shared" si="18"/>
        <v>0.63200000000000001</v>
      </c>
      <c r="W80" s="155"/>
      <c r="X80" s="11"/>
      <c r="Y80" s="11"/>
      <c r="Z80" s="11"/>
      <c r="AA80" s="11"/>
      <c r="AB80" s="11"/>
      <c r="AC80" s="11"/>
      <c r="AD80" s="11"/>
      <c r="AE80" s="11"/>
      <c r="AF80" s="11"/>
      <c r="AG80" s="11"/>
      <c r="AH80" s="11"/>
      <c r="AI80" s="11"/>
      <c r="AJ80" s="11"/>
      <c r="AK80" s="11"/>
      <c r="AL80" s="178"/>
      <c r="AM80" s="178"/>
      <c r="AN80" s="178"/>
      <c r="AO80" s="156"/>
      <c r="AP80" s="156"/>
      <c r="AQ80" s="148"/>
      <c r="AR80" s="149"/>
      <c r="AS80" s="148"/>
      <c r="AT80" s="148"/>
    </row>
    <row r="81" spans="1:46" s="60" customFormat="1" ht="10.5" customHeight="1" x14ac:dyDescent="0.2">
      <c r="A81" s="42"/>
      <c r="B81" s="42"/>
      <c r="C81" s="79" t="s">
        <v>2284</v>
      </c>
      <c r="D81" s="79"/>
      <c r="E81" s="65" t="s">
        <v>2285</v>
      </c>
      <c r="F81" s="65"/>
      <c r="G81" s="65"/>
      <c r="H81" s="65"/>
      <c r="I81" s="65" t="s">
        <v>2286</v>
      </c>
      <c r="J81" s="65"/>
      <c r="K81" s="65"/>
      <c r="L81" s="151">
        <v>0.41670000000000001</v>
      </c>
      <c r="M81" s="151"/>
      <c r="N81" s="159">
        <v>0.19040000000000001</v>
      </c>
      <c r="O81" s="159"/>
      <c r="P81" s="153">
        <v>0</v>
      </c>
      <c r="Q81" s="153"/>
      <c r="R81" s="153"/>
      <c r="S81" s="153"/>
      <c r="T81" s="153">
        <v>0</v>
      </c>
      <c r="U81" s="153"/>
      <c r="V81" s="154">
        <f t="shared" si="18"/>
        <v>0.41670000000000001</v>
      </c>
      <c r="W81" s="155"/>
      <c r="X81" s="11"/>
      <c r="Y81" s="11"/>
      <c r="Z81" s="11"/>
      <c r="AA81" s="11"/>
      <c r="AB81" s="11"/>
      <c r="AC81" s="11"/>
      <c r="AD81" s="11"/>
      <c r="AE81" s="11"/>
      <c r="AF81" s="11"/>
      <c r="AG81" s="11"/>
      <c r="AH81" s="11"/>
      <c r="AI81" s="11"/>
      <c r="AJ81" s="11"/>
      <c r="AK81" s="11"/>
      <c r="AL81" s="178"/>
      <c r="AM81" s="178"/>
      <c r="AN81" s="178"/>
      <c r="AO81" s="156"/>
      <c r="AP81" s="156"/>
      <c r="AQ81" s="148"/>
      <c r="AR81" s="149"/>
      <c r="AS81" s="148"/>
      <c r="AT81" s="148"/>
    </row>
    <row r="82" spans="1:46" s="60" customFormat="1" ht="10.5" customHeight="1" x14ac:dyDescent="0.2">
      <c r="A82" s="42"/>
      <c r="B82" s="42"/>
      <c r="C82" s="79" t="s">
        <v>2287</v>
      </c>
      <c r="D82" s="79"/>
      <c r="E82" s="65" t="s">
        <v>2288</v>
      </c>
      <c r="F82" s="65"/>
      <c r="G82" s="65"/>
      <c r="H82" s="65"/>
      <c r="I82" s="65" t="s">
        <v>2235</v>
      </c>
      <c r="J82" s="65"/>
      <c r="K82" s="65"/>
      <c r="L82" s="151">
        <v>293.2</v>
      </c>
      <c r="M82" s="151"/>
      <c r="N82" s="152">
        <v>386.14</v>
      </c>
      <c r="O82" s="152"/>
      <c r="P82" s="153">
        <v>0</v>
      </c>
      <c r="Q82" s="153"/>
      <c r="R82" s="153"/>
      <c r="S82" s="153"/>
      <c r="T82" s="153">
        <v>0</v>
      </c>
      <c r="U82" s="153"/>
      <c r="V82" s="154">
        <f t="shared" si="18"/>
        <v>293.2</v>
      </c>
      <c r="W82" s="160"/>
      <c r="X82" s="11"/>
      <c r="Y82" s="11"/>
      <c r="Z82" s="11"/>
      <c r="AA82" s="11"/>
      <c r="AB82" s="11"/>
      <c r="AC82" s="11"/>
      <c r="AD82" s="161"/>
      <c r="AE82" s="11"/>
      <c r="AF82" s="11"/>
      <c r="AG82" s="11"/>
      <c r="AH82" s="11"/>
      <c r="AI82" s="11"/>
      <c r="AJ82" s="11"/>
      <c r="AK82" s="11"/>
      <c r="AL82" s="178"/>
      <c r="AM82" s="178"/>
      <c r="AN82" s="178"/>
      <c r="AO82" s="156"/>
      <c r="AP82" s="156"/>
      <c r="AQ82" s="148"/>
      <c r="AR82" s="149"/>
      <c r="AS82" s="148"/>
      <c r="AT82" s="148"/>
    </row>
    <row r="83" spans="1:46" s="60" customFormat="1" ht="10.5" customHeight="1" x14ac:dyDescent="0.2">
      <c r="A83" s="42"/>
      <c r="B83" s="42"/>
      <c r="C83" s="79" t="s">
        <v>2289</v>
      </c>
      <c r="D83" s="79"/>
      <c r="E83" s="65" t="s">
        <v>2290</v>
      </c>
      <c r="F83" s="65"/>
      <c r="G83" s="65"/>
      <c r="H83" s="65"/>
      <c r="I83" s="65" t="s">
        <v>2235</v>
      </c>
      <c r="J83" s="65"/>
      <c r="K83" s="65"/>
      <c r="L83" s="151" t="s">
        <v>2312</v>
      </c>
      <c r="M83" s="151"/>
      <c r="N83" s="153" t="s">
        <v>2487</v>
      </c>
      <c r="O83" s="153"/>
      <c r="P83" s="153">
        <v>0</v>
      </c>
      <c r="Q83" s="153"/>
      <c r="R83" s="153"/>
      <c r="S83" s="153"/>
      <c r="T83" s="153">
        <v>0</v>
      </c>
      <c r="U83" s="153"/>
      <c r="V83" s="162">
        <v>0</v>
      </c>
      <c r="W83" s="160"/>
      <c r="X83" s="11"/>
      <c r="Y83" s="11"/>
      <c r="Z83" s="11"/>
      <c r="AA83" s="11"/>
      <c r="AB83" s="11"/>
      <c r="AC83" s="11"/>
      <c r="AD83" s="163"/>
      <c r="AE83" s="11"/>
      <c r="AF83" s="11"/>
      <c r="AG83" s="11"/>
      <c r="AH83" s="11"/>
      <c r="AI83" s="11"/>
      <c r="AJ83" s="11"/>
      <c r="AK83" s="11"/>
      <c r="AO83" s="156"/>
      <c r="AP83" s="156"/>
      <c r="AQ83" s="149"/>
      <c r="AR83" s="149"/>
      <c r="AS83" s="148"/>
      <c r="AT83" s="148"/>
    </row>
    <row r="84" spans="1:46" s="60" customFormat="1" ht="10.5" customHeight="1" x14ac:dyDescent="0.2">
      <c r="A84" s="42"/>
      <c r="B84" s="42"/>
      <c r="C84" s="79" t="s">
        <v>2291</v>
      </c>
      <c r="D84" s="79"/>
      <c r="E84" s="65" t="s">
        <v>2292</v>
      </c>
      <c r="F84" s="65"/>
      <c r="G84" s="65"/>
      <c r="H84" s="65"/>
      <c r="I84" s="65" t="s">
        <v>2235</v>
      </c>
      <c r="J84" s="65"/>
      <c r="K84" s="65"/>
      <c r="L84" s="151">
        <v>24.6</v>
      </c>
      <c r="M84" s="151"/>
      <c r="N84" s="158">
        <v>23.2</v>
      </c>
      <c r="O84" s="158"/>
      <c r="P84" s="153">
        <v>0</v>
      </c>
      <c r="Q84" s="153"/>
      <c r="R84" s="153"/>
      <c r="S84" s="153"/>
      <c r="T84" s="153">
        <v>0</v>
      </c>
      <c r="U84" s="153"/>
      <c r="V84" s="154">
        <f t="shared" si="18"/>
        <v>24.6</v>
      </c>
      <c r="W84" s="155"/>
      <c r="X84" s="11"/>
      <c r="Y84" s="11"/>
      <c r="Z84" s="11"/>
      <c r="AA84" s="11"/>
      <c r="AB84" s="11"/>
      <c r="AC84" s="11"/>
      <c r="AD84" s="11"/>
      <c r="AE84" s="11"/>
      <c r="AF84" s="11"/>
      <c r="AG84" s="11"/>
      <c r="AH84" s="11"/>
      <c r="AI84" s="11"/>
      <c r="AJ84" s="11"/>
      <c r="AK84" s="11"/>
      <c r="AO84" s="156"/>
      <c r="AP84" s="156"/>
      <c r="AQ84" s="149"/>
      <c r="AR84" s="149"/>
      <c r="AS84" s="148"/>
      <c r="AT84" s="148"/>
    </row>
    <row r="85" spans="1:46" s="60" customFormat="1" ht="10.5" customHeight="1" x14ac:dyDescent="0.2">
      <c r="A85" s="42"/>
      <c r="B85" s="42"/>
      <c r="C85" s="79" t="s">
        <v>2293</v>
      </c>
      <c r="D85" s="79"/>
      <c r="E85" s="65" t="s">
        <v>2294</v>
      </c>
      <c r="F85" s="65"/>
      <c r="G85" s="65"/>
      <c r="H85" s="65"/>
      <c r="I85" s="65" t="s">
        <v>2235</v>
      </c>
      <c r="J85" s="65"/>
      <c r="K85" s="65"/>
      <c r="L85" s="151" t="s">
        <v>2312</v>
      </c>
      <c r="M85" s="151"/>
      <c r="N85" s="151" t="s">
        <v>2312</v>
      </c>
      <c r="O85" s="151"/>
      <c r="P85" s="153">
        <v>0</v>
      </c>
      <c r="Q85" s="153"/>
      <c r="R85" s="153"/>
      <c r="S85" s="153"/>
      <c r="T85" s="153">
        <v>0</v>
      </c>
      <c r="U85" s="153"/>
      <c r="V85" s="162">
        <v>0</v>
      </c>
      <c r="W85" s="160"/>
      <c r="X85" s="11"/>
      <c r="Y85" s="11"/>
      <c r="Z85" s="11"/>
      <c r="AA85" s="11"/>
      <c r="AB85" s="11"/>
      <c r="AC85" s="11"/>
      <c r="AD85" s="163"/>
      <c r="AE85" s="11"/>
      <c r="AF85" s="11"/>
      <c r="AG85" s="11"/>
      <c r="AH85" s="11"/>
      <c r="AI85" s="11"/>
      <c r="AJ85" s="11"/>
      <c r="AK85" s="11"/>
      <c r="AO85" s="156"/>
      <c r="AP85" s="156"/>
      <c r="AQ85" s="149"/>
      <c r="AR85" s="149"/>
      <c r="AS85" s="148"/>
      <c r="AT85" s="148"/>
    </row>
    <row r="86" spans="1:46" s="60" customFormat="1" ht="10.5" customHeight="1" x14ac:dyDescent="0.2">
      <c r="A86" s="42"/>
      <c r="B86" s="42"/>
      <c r="C86" s="79" t="s">
        <v>2295</v>
      </c>
      <c r="D86" s="79"/>
      <c r="E86" s="65" t="s">
        <v>2296</v>
      </c>
      <c r="F86" s="65"/>
      <c r="G86" s="65"/>
      <c r="H86" s="65"/>
      <c r="I86" s="65" t="s">
        <v>2237</v>
      </c>
      <c r="J86" s="65"/>
      <c r="K86" s="65"/>
      <c r="L86" s="151" t="s">
        <v>2312</v>
      </c>
      <c r="M86" s="151"/>
      <c r="N86" s="151" t="s">
        <v>2312</v>
      </c>
      <c r="O86" s="151"/>
      <c r="P86" s="153">
        <v>0</v>
      </c>
      <c r="Q86" s="153"/>
      <c r="R86" s="153"/>
      <c r="S86" s="153"/>
      <c r="T86" s="153">
        <v>0</v>
      </c>
      <c r="U86" s="153"/>
      <c r="V86" s="162">
        <v>0</v>
      </c>
      <c r="W86" s="155"/>
      <c r="X86" s="11"/>
      <c r="Y86" s="11"/>
      <c r="Z86" s="11"/>
      <c r="AA86" s="11"/>
      <c r="AB86" s="11"/>
      <c r="AC86" s="11"/>
      <c r="AD86" s="11"/>
      <c r="AE86" s="11"/>
      <c r="AF86" s="11"/>
      <c r="AG86" s="11"/>
      <c r="AH86" s="11"/>
      <c r="AI86" s="11"/>
      <c r="AJ86" s="11"/>
      <c r="AK86" s="11"/>
      <c r="AO86" s="156"/>
      <c r="AP86" s="156"/>
      <c r="AQ86" s="149"/>
      <c r="AR86" s="149"/>
      <c r="AS86" s="148"/>
      <c r="AT86" s="148"/>
    </row>
    <row r="87" spans="1:46" s="60" customFormat="1" ht="10.5" customHeight="1" x14ac:dyDescent="0.2">
      <c r="A87" s="42"/>
      <c r="B87" s="42"/>
      <c r="C87" s="79" t="s">
        <v>2297</v>
      </c>
      <c r="D87" s="79"/>
      <c r="E87" s="65" t="s">
        <v>2298</v>
      </c>
      <c r="F87" s="65"/>
      <c r="G87" s="65"/>
      <c r="H87" s="65"/>
      <c r="I87" s="65" t="s">
        <v>2235</v>
      </c>
      <c r="J87" s="65"/>
      <c r="K87" s="65"/>
      <c r="L87" s="151" t="s">
        <v>2312</v>
      </c>
      <c r="M87" s="151"/>
      <c r="N87" s="151" t="s">
        <v>2312</v>
      </c>
      <c r="O87" s="151"/>
      <c r="P87" s="153">
        <v>0</v>
      </c>
      <c r="Q87" s="153"/>
      <c r="R87" s="153"/>
      <c r="S87" s="153"/>
      <c r="T87" s="153">
        <v>0</v>
      </c>
      <c r="U87" s="153"/>
      <c r="V87" s="162">
        <v>0</v>
      </c>
      <c r="W87" s="155"/>
      <c r="X87" s="11"/>
      <c r="Y87" s="11"/>
      <c r="Z87" s="11"/>
      <c r="AA87" s="11"/>
      <c r="AB87" s="11"/>
      <c r="AC87" s="11"/>
      <c r="AD87" s="11"/>
      <c r="AE87" s="11"/>
      <c r="AF87" s="11"/>
      <c r="AG87" s="11"/>
      <c r="AH87" s="11"/>
      <c r="AI87" s="11"/>
      <c r="AJ87" s="11"/>
      <c r="AK87" s="11"/>
      <c r="AO87" s="156"/>
      <c r="AP87" s="156"/>
      <c r="AQ87" s="149"/>
      <c r="AR87" s="149"/>
      <c r="AS87" s="148"/>
      <c r="AT87" s="148"/>
    </row>
    <row r="88" spans="1:46" s="60" customFormat="1" ht="10.5" customHeight="1" x14ac:dyDescent="0.2">
      <c r="A88" s="42"/>
      <c r="B88" s="42"/>
      <c r="C88" s="79" t="s">
        <v>2299</v>
      </c>
      <c r="D88" s="79"/>
      <c r="E88" s="65" t="s">
        <v>2300</v>
      </c>
      <c r="F88" s="65"/>
      <c r="G88" s="65"/>
      <c r="H88" s="65"/>
      <c r="I88" s="65" t="s">
        <v>2235</v>
      </c>
      <c r="J88" s="65"/>
      <c r="K88" s="65"/>
      <c r="L88" s="151" t="s">
        <v>2312</v>
      </c>
      <c r="M88" s="151"/>
      <c r="N88" s="151" t="s">
        <v>2312</v>
      </c>
      <c r="O88" s="151"/>
      <c r="P88" s="153">
        <v>0</v>
      </c>
      <c r="Q88" s="153"/>
      <c r="R88" s="153"/>
      <c r="S88" s="153"/>
      <c r="T88" s="153">
        <v>0</v>
      </c>
      <c r="U88" s="153"/>
      <c r="V88" s="162">
        <v>0</v>
      </c>
      <c r="W88" s="164"/>
      <c r="X88" s="11"/>
      <c r="Y88" s="11"/>
      <c r="Z88" s="11"/>
      <c r="AA88" s="11"/>
      <c r="AB88" s="11"/>
      <c r="AC88" s="11"/>
      <c r="AD88" s="11"/>
      <c r="AE88" s="11"/>
      <c r="AF88" s="11"/>
      <c r="AG88" s="11"/>
      <c r="AH88" s="11"/>
      <c r="AI88" s="11"/>
      <c r="AJ88" s="11"/>
      <c r="AK88" s="11"/>
      <c r="AO88" s="156"/>
      <c r="AP88" s="156"/>
      <c r="AQ88" s="149"/>
      <c r="AR88" s="149"/>
      <c r="AS88" s="148"/>
      <c r="AT88" s="148"/>
    </row>
    <row r="89" spans="1:46" s="60" customFormat="1" ht="10.5" customHeight="1" x14ac:dyDescent="0.2">
      <c r="A89" s="42"/>
      <c r="B89" s="42"/>
      <c r="C89" s="79" t="s">
        <v>2301</v>
      </c>
      <c r="D89" s="79"/>
      <c r="E89" s="65" t="s">
        <v>2302</v>
      </c>
      <c r="F89" s="65"/>
      <c r="G89" s="65"/>
      <c r="H89" s="65"/>
      <c r="I89" s="65" t="s">
        <v>2303</v>
      </c>
      <c r="J89" s="65"/>
      <c r="K89" s="65"/>
      <c r="L89" s="151">
        <v>0.98</v>
      </c>
      <c r="M89" s="151"/>
      <c r="N89" s="152">
        <v>0.99</v>
      </c>
      <c r="O89" s="152"/>
      <c r="P89" s="153">
        <v>0</v>
      </c>
      <c r="Q89" s="153"/>
      <c r="R89" s="153"/>
      <c r="S89" s="153"/>
      <c r="T89" s="153">
        <v>0</v>
      </c>
      <c r="U89" s="153"/>
      <c r="V89" s="154">
        <f t="shared" si="18"/>
        <v>0.98</v>
      </c>
      <c r="W89" s="155"/>
      <c r="X89" s="11"/>
      <c r="Y89" s="11"/>
      <c r="Z89" s="11"/>
      <c r="AA89" s="11"/>
      <c r="AB89" s="11"/>
      <c r="AC89" s="11"/>
      <c r="AD89" s="11"/>
      <c r="AE89" s="11"/>
      <c r="AF89" s="11"/>
      <c r="AG89" s="11"/>
      <c r="AH89" s="11"/>
      <c r="AI89" s="11"/>
      <c r="AJ89" s="11"/>
      <c r="AK89" s="11"/>
      <c r="AO89" s="156"/>
      <c r="AP89" s="156"/>
      <c r="AQ89" s="149"/>
      <c r="AR89" s="149"/>
      <c r="AS89" s="148"/>
      <c r="AT89" s="148"/>
    </row>
    <row r="90" spans="1:46" s="60" customFormat="1" ht="10.5" customHeight="1" x14ac:dyDescent="0.2">
      <c r="A90" s="42"/>
      <c r="B90" s="42"/>
      <c r="C90" s="79" t="s">
        <v>2304</v>
      </c>
      <c r="D90" s="79"/>
      <c r="E90" s="65" t="s">
        <v>2305</v>
      </c>
      <c r="F90" s="65"/>
      <c r="G90" s="65"/>
      <c r="H90" s="65"/>
      <c r="I90" s="65" t="s">
        <v>2235</v>
      </c>
      <c r="J90" s="65"/>
      <c r="K90" s="65"/>
      <c r="L90" s="165">
        <v>1</v>
      </c>
      <c r="M90" s="165"/>
      <c r="N90" s="151" t="s">
        <v>2312</v>
      </c>
      <c r="O90" s="151"/>
      <c r="P90" s="153">
        <v>0</v>
      </c>
      <c r="Q90" s="153"/>
      <c r="R90" s="153"/>
      <c r="S90" s="153"/>
      <c r="T90" s="153">
        <v>0</v>
      </c>
      <c r="U90" s="153"/>
      <c r="V90" s="154">
        <f t="shared" si="18"/>
        <v>1</v>
      </c>
      <c r="W90" s="155"/>
      <c r="X90" s="11"/>
      <c r="Y90" s="11"/>
      <c r="Z90" s="11"/>
      <c r="AA90" s="11"/>
      <c r="AB90" s="11"/>
      <c r="AC90" s="11"/>
      <c r="AD90" s="11"/>
      <c r="AE90" s="11"/>
      <c r="AF90" s="11"/>
      <c r="AG90" s="11"/>
      <c r="AH90" s="11"/>
      <c r="AI90" s="11"/>
      <c r="AJ90" s="11"/>
      <c r="AK90" s="11"/>
      <c r="AO90" s="156"/>
      <c r="AP90" s="156"/>
      <c r="AQ90" s="149"/>
      <c r="AR90" s="149"/>
      <c r="AS90" s="148"/>
      <c r="AT90" s="148"/>
    </row>
    <row r="91" spans="1:46" s="60" customFormat="1" ht="10.5" customHeight="1" x14ac:dyDescent="0.2">
      <c r="A91" s="42"/>
      <c r="B91" s="42"/>
      <c r="C91" s="79" t="s">
        <v>2306</v>
      </c>
      <c r="D91" s="79"/>
      <c r="E91" s="65" t="s">
        <v>2307</v>
      </c>
      <c r="F91" s="65"/>
      <c r="G91" s="65"/>
      <c r="H91" s="65"/>
      <c r="I91" s="65" t="s">
        <v>2308</v>
      </c>
      <c r="J91" s="65"/>
      <c r="K91" s="65"/>
      <c r="L91" s="151" t="s">
        <v>2312</v>
      </c>
      <c r="M91" s="151"/>
      <c r="N91" s="153" t="s">
        <v>2487</v>
      </c>
      <c r="O91" s="153"/>
      <c r="P91" s="153">
        <v>0</v>
      </c>
      <c r="Q91" s="153"/>
      <c r="R91" s="153"/>
      <c r="S91" s="153"/>
      <c r="T91" s="153">
        <v>0</v>
      </c>
      <c r="U91" s="153"/>
      <c r="V91" s="162">
        <v>0</v>
      </c>
      <c r="W91" s="155"/>
      <c r="X91" s="11"/>
      <c r="Y91" s="11"/>
      <c r="Z91" s="11"/>
      <c r="AA91" s="11"/>
      <c r="AB91" s="11"/>
      <c r="AC91" s="11"/>
      <c r="AD91" s="11"/>
      <c r="AE91" s="11"/>
      <c r="AF91" s="11"/>
      <c r="AG91" s="11"/>
      <c r="AH91" s="11"/>
      <c r="AI91" s="11"/>
      <c r="AJ91" s="11"/>
      <c r="AK91" s="11"/>
      <c r="AO91" s="156"/>
      <c r="AP91" s="156"/>
      <c r="AQ91" s="149"/>
      <c r="AR91" s="149"/>
      <c r="AS91" s="148"/>
      <c r="AT91" s="148"/>
    </row>
    <row r="92" spans="1:46" ht="10.5" customHeight="1" x14ac:dyDescent="0.2">
      <c r="V92" s="168"/>
    </row>
    <row r="93" spans="1:46" ht="10.5" hidden="1" customHeight="1" x14ac:dyDescent="0.2">
      <c r="AA93" s="173"/>
      <c r="AB93" s="174"/>
      <c r="AD93" s="175"/>
      <c r="AG93" s="176"/>
      <c r="AH93" s="176"/>
      <c r="AI93" s="176"/>
    </row>
    <row r="94" spans="1:46" ht="10.5" hidden="1" customHeight="1" x14ac:dyDescent="0.2">
      <c r="AA94" s="174"/>
      <c r="AC94" s="174"/>
      <c r="AD94" s="174"/>
      <c r="AE94" s="174"/>
    </row>
    <row r="95" spans="1:46" ht="10.5" hidden="1" customHeight="1" x14ac:dyDescent="0.2">
      <c r="AH95" s="177"/>
    </row>
    <row r="96" spans="1:46" ht="10.5" hidden="1" customHeight="1" x14ac:dyDescent="0.2">
      <c r="AK96" s="177"/>
    </row>
    <row r="97" spans="34:37" ht="10.5" hidden="1" customHeight="1" x14ac:dyDescent="0.2">
      <c r="AK97" s="177"/>
    </row>
    <row r="98" spans="34:37" ht="10.5" hidden="1" customHeight="1" x14ac:dyDescent="0.2"/>
    <row r="99" spans="34:37" ht="10.5" hidden="1" customHeight="1" x14ac:dyDescent="0.2"/>
    <row r="100" spans="34:37" ht="10.5" hidden="1" customHeight="1" x14ac:dyDescent="0.2"/>
    <row r="101" spans="34:37" ht="10.5" hidden="1" customHeight="1" x14ac:dyDescent="0.2"/>
    <row r="102" spans="34:37" ht="10.5" hidden="1" customHeight="1" x14ac:dyDescent="0.2"/>
    <row r="103" spans="34:37" ht="10.5" hidden="1" customHeight="1" x14ac:dyDescent="0.2">
      <c r="AH103" s="14"/>
    </row>
  </sheetData>
  <sheetProtection selectLockedCells="1"/>
  <mergeCells count="524">
    <mergeCell ref="AG93:AI93"/>
    <mergeCell ref="AG30:AI30"/>
    <mergeCell ref="AA30:AC30"/>
    <mergeCell ref="X29:Z29"/>
    <mergeCell ref="AQ74:AQ75"/>
    <mergeCell ref="AR71:AR72"/>
    <mergeCell ref="AO46:AO49"/>
    <mergeCell ref="AP46:AP49"/>
    <mergeCell ref="X33:Z33"/>
    <mergeCell ref="AA33:AC33"/>
    <mergeCell ref="AR74:AR75"/>
    <mergeCell ref="AL74:AL75"/>
    <mergeCell ref="AM74:AM75"/>
    <mergeCell ref="AG51:AI51"/>
    <mergeCell ref="AG55:AI55"/>
    <mergeCell ref="AL57:AL58"/>
    <mergeCell ref="AD44:AF44"/>
    <mergeCell ref="AG44:AI44"/>
    <mergeCell ref="AD43:AF43"/>
    <mergeCell ref="AD37:AF37"/>
    <mergeCell ref="AR46:AR49"/>
    <mergeCell ref="AO54:AO55"/>
    <mergeCell ref="AP54:AP55"/>
    <mergeCell ref="AQ54:AQ55"/>
    <mergeCell ref="AR54:AR55"/>
    <mergeCell ref="AG14:AI14"/>
    <mergeCell ref="AD15:AF15"/>
    <mergeCell ref="AG21:AI21"/>
    <mergeCell ref="X18:Z18"/>
    <mergeCell ref="AD22:AF22"/>
    <mergeCell ref="AN66:AN67"/>
    <mergeCell ref="AL71:AL72"/>
    <mergeCell ref="AA18:AC18"/>
    <mergeCell ref="AD18:AF18"/>
    <mergeCell ref="AG18:AI18"/>
    <mergeCell ref="AD19:AF19"/>
    <mergeCell ref="AG19:AI19"/>
    <mergeCell ref="AA19:AC19"/>
    <mergeCell ref="AA32:AC32"/>
    <mergeCell ref="AD35:AF35"/>
    <mergeCell ref="AG35:AI35"/>
    <mergeCell ref="AM16:AM17"/>
    <mergeCell ref="AL16:AL17"/>
    <mergeCell ref="AG33:AI33"/>
    <mergeCell ref="AG37:AI37"/>
    <mergeCell ref="AD34:AF34"/>
    <mergeCell ref="AG34:AI34"/>
    <mergeCell ref="AG47:AI47"/>
    <mergeCell ref="AG48:AI48"/>
    <mergeCell ref="AO68:AO69"/>
    <mergeCell ref="AP68:AP69"/>
    <mergeCell ref="AQ68:AQ69"/>
    <mergeCell ref="AR68:AR69"/>
    <mergeCell ref="AQ66:AQ67"/>
    <mergeCell ref="AR66:AR67"/>
    <mergeCell ref="AO66:AO67"/>
    <mergeCell ref="AP66:AP67"/>
    <mergeCell ref="AO9:AT10"/>
    <mergeCell ref="AS12:AS13"/>
    <mergeCell ref="AT12:AT13"/>
    <mergeCell ref="AS16:AS17"/>
    <mergeCell ref="AT16:AT17"/>
    <mergeCell ref="AS26:AS27"/>
    <mergeCell ref="AT26:AT27"/>
    <mergeCell ref="AS41:AS42"/>
    <mergeCell ref="AT41:AT42"/>
    <mergeCell ref="AO26:AO27"/>
    <mergeCell ref="AP26:AP27"/>
    <mergeCell ref="AO12:AO13"/>
    <mergeCell ref="AP41:AP42"/>
    <mergeCell ref="AQ26:AQ27"/>
    <mergeCell ref="AR26:AR27"/>
    <mergeCell ref="AQ41:AQ42"/>
    <mergeCell ref="AR41:AR42"/>
    <mergeCell ref="AT71:AT72"/>
    <mergeCell ref="AS74:AS75"/>
    <mergeCell ref="AT74:AT75"/>
    <mergeCell ref="AS68:AS69"/>
    <mergeCell ref="AT68:AT69"/>
    <mergeCell ref="AS46:AS49"/>
    <mergeCell ref="AT46:AT49"/>
    <mergeCell ref="AS54:AS55"/>
    <mergeCell ref="AT54:AT55"/>
    <mergeCell ref="AS66:AS67"/>
    <mergeCell ref="AT66:AT67"/>
    <mergeCell ref="AS71:AS72"/>
    <mergeCell ref="AN14:AN15"/>
    <mergeCell ref="AM14:AM15"/>
    <mergeCell ref="AO16:AO17"/>
    <mergeCell ref="AP16:AP17"/>
    <mergeCell ref="AN16:AN17"/>
    <mergeCell ref="AQ46:AQ49"/>
    <mergeCell ref="AQ71:AQ72"/>
    <mergeCell ref="AD26:AF26"/>
    <mergeCell ref="AD39:AF39"/>
    <mergeCell ref="AG26:AI26"/>
    <mergeCell ref="AD27:AF27"/>
    <mergeCell ref="AG22:AI22"/>
    <mergeCell ref="AD20:AF20"/>
    <mergeCell ref="AG20:AI20"/>
    <mergeCell ref="AD21:AF21"/>
    <mergeCell ref="AD32:AF32"/>
    <mergeCell ref="AG43:AI43"/>
    <mergeCell ref="AD47:AF47"/>
    <mergeCell ref="AD48:AF48"/>
    <mergeCell ref="AD49:AF49"/>
    <mergeCell ref="AD28:AF28"/>
    <mergeCell ref="AG28:AI28"/>
    <mergeCell ref="AD29:AF29"/>
    <mergeCell ref="AG29:AI29"/>
    <mergeCell ref="AA14:AC14"/>
    <mergeCell ref="X15:Z15"/>
    <mergeCell ref="AA15:AC15"/>
    <mergeCell ref="AD16:AF16"/>
    <mergeCell ref="AR12:AR13"/>
    <mergeCell ref="AQ12:AQ13"/>
    <mergeCell ref="X13:Z13"/>
    <mergeCell ref="AD12:AF12"/>
    <mergeCell ref="AG12:AI12"/>
    <mergeCell ref="AD14:AF14"/>
    <mergeCell ref="AG15:AI15"/>
    <mergeCell ref="AG24:AI24"/>
    <mergeCell ref="AD23:AF23"/>
    <mergeCell ref="AG23:AI23"/>
    <mergeCell ref="AD24:AF24"/>
    <mergeCell ref="X19:Z19"/>
    <mergeCell ref="AL20:AL22"/>
    <mergeCell ref="AL23:AL24"/>
    <mergeCell ref="AM23:AM24"/>
    <mergeCell ref="AL12:AL13"/>
    <mergeCell ref="AL14:AL15"/>
    <mergeCell ref="AQ16:AQ17"/>
    <mergeCell ref="AR16:AR17"/>
    <mergeCell ref="AD17:AF17"/>
    <mergeCell ref="AG17:AI17"/>
    <mergeCell ref="X16:Z16"/>
    <mergeCell ref="AA16:AC16"/>
    <mergeCell ref="X17:Z17"/>
    <mergeCell ref="AA17:AC17"/>
    <mergeCell ref="AG16:AI16"/>
    <mergeCell ref="F9:I10"/>
    <mergeCell ref="J10:K10"/>
    <mergeCell ref="H14:H15"/>
    <mergeCell ref="J9:K9"/>
    <mergeCell ref="B2:F5"/>
    <mergeCell ref="B6:F6"/>
    <mergeCell ref="B7:F7"/>
    <mergeCell ref="B8:F8"/>
    <mergeCell ref="G2:AR2"/>
    <mergeCell ref="G3:AR3"/>
    <mergeCell ref="G4:AR4"/>
    <mergeCell ref="G5:AR5"/>
    <mergeCell ref="G8:AR8"/>
    <mergeCell ref="G6:AR6"/>
    <mergeCell ref="G7:AR7"/>
    <mergeCell ref="AP12:AP13"/>
    <mergeCell ref="AM12:AM13"/>
    <mergeCell ref="AA13:AC13"/>
    <mergeCell ref="AD13:AF13"/>
    <mergeCell ref="AG13:AI13"/>
    <mergeCell ref="X12:Z12"/>
    <mergeCell ref="AA12:AC12"/>
    <mergeCell ref="X14:Z14"/>
    <mergeCell ref="AD61:AF61"/>
    <mergeCell ref="AG61:AI61"/>
    <mergeCell ref="AG63:AI63"/>
    <mergeCell ref="AG64:AI64"/>
    <mergeCell ref="AA52:AC52"/>
    <mergeCell ref="AA50:AC50"/>
    <mergeCell ref="X51:Z51"/>
    <mergeCell ref="AA58:AC58"/>
    <mergeCell ref="X59:Z59"/>
    <mergeCell ref="AA59:AC59"/>
    <mergeCell ref="AD59:AF59"/>
    <mergeCell ref="AG59:AI59"/>
    <mergeCell ref="X60:Z60"/>
    <mergeCell ref="AA60:AC60"/>
    <mergeCell ref="X61:Z61"/>
    <mergeCell ref="AA61:AC61"/>
    <mergeCell ref="X62:Z62"/>
    <mergeCell ref="AA62:AC62"/>
    <mergeCell ref="X63:Z63"/>
    <mergeCell ref="AA63:AC63"/>
    <mergeCell ref="AD45:AF45"/>
    <mergeCell ref="AG45:AI45"/>
    <mergeCell ref="AG40:AI40"/>
    <mergeCell ref="AD46:AF46"/>
    <mergeCell ref="AG46:AI46"/>
    <mergeCell ref="AD54:AF54"/>
    <mergeCell ref="AG54:AI54"/>
    <mergeCell ref="AD57:AF57"/>
    <mergeCell ref="AG57:AI57"/>
    <mergeCell ref="AG50:AI50"/>
    <mergeCell ref="AD42:AF42"/>
    <mergeCell ref="AD50:AF50"/>
    <mergeCell ref="AD52:AF52"/>
    <mergeCell ref="AG53:AI53"/>
    <mergeCell ref="AD53:AF53"/>
    <mergeCell ref="AG52:AI52"/>
    <mergeCell ref="I90:K90"/>
    <mergeCell ref="I91:K91"/>
    <mergeCell ref="I89:K89"/>
    <mergeCell ref="N89:O89"/>
    <mergeCell ref="E89:H89"/>
    <mergeCell ref="E90:H90"/>
    <mergeCell ref="L82:M82"/>
    <mergeCell ref="N82:O82"/>
    <mergeCell ref="I88:K88"/>
    <mergeCell ref="L83:M83"/>
    <mergeCell ref="N83:O83"/>
    <mergeCell ref="E86:H86"/>
    <mergeCell ref="E87:H87"/>
    <mergeCell ref="E88:H88"/>
    <mergeCell ref="I86:K86"/>
    <mergeCell ref="I87:K87"/>
    <mergeCell ref="L91:M91"/>
    <mergeCell ref="N91:O91"/>
    <mergeCell ref="I82:K82"/>
    <mergeCell ref="I83:K83"/>
    <mergeCell ref="I84:K84"/>
    <mergeCell ref="I85:K85"/>
    <mergeCell ref="L88:M88"/>
    <mergeCell ref="N88:O88"/>
    <mergeCell ref="L89:M89"/>
    <mergeCell ref="P89:Q89"/>
    <mergeCell ref="R89:S89"/>
    <mergeCell ref="T89:U89"/>
    <mergeCell ref="L90:M90"/>
    <mergeCell ref="N90:O90"/>
    <mergeCell ref="P90:Q90"/>
    <mergeCell ref="R90:S90"/>
    <mergeCell ref="T90:U90"/>
    <mergeCell ref="P91:Q91"/>
    <mergeCell ref="R91:S91"/>
    <mergeCell ref="T91:U91"/>
    <mergeCell ref="T84:U84"/>
    <mergeCell ref="P85:Q85"/>
    <mergeCell ref="R85:S85"/>
    <mergeCell ref="T85:U85"/>
    <mergeCell ref="P86:Q86"/>
    <mergeCell ref="R86:S86"/>
    <mergeCell ref="T86:U86"/>
    <mergeCell ref="P87:Q87"/>
    <mergeCell ref="R87:S87"/>
    <mergeCell ref="T87:U87"/>
    <mergeCell ref="R88:S88"/>
    <mergeCell ref="T88:U88"/>
    <mergeCell ref="P88:Q88"/>
    <mergeCell ref="I81:K81"/>
    <mergeCell ref="I79:K79"/>
    <mergeCell ref="L79:M79"/>
    <mergeCell ref="N79:O79"/>
    <mergeCell ref="P79:Q79"/>
    <mergeCell ref="H29:H33"/>
    <mergeCell ref="L80:M80"/>
    <mergeCell ref="N80:O80"/>
    <mergeCell ref="P80:Q80"/>
    <mergeCell ref="N81:O81"/>
    <mergeCell ref="P81:Q81"/>
    <mergeCell ref="H59:H60"/>
    <mergeCell ref="I77:K77"/>
    <mergeCell ref="I80:K80"/>
    <mergeCell ref="L81:M81"/>
    <mergeCell ref="B9:E10"/>
    <mergeCell ref="D36:D37"/>
    <mergeCell ref="T78:U78"/>
    <mergeCell ref="I78:K78"/>
    <mergeCell ref="R78:S78"/>
    <mergeCell ref="N78:O78"/>
    <mergeCell ref="P78:Q78"/>
    <mergeCell ref="L78:M78"/>
    <mergeCell ref="L77:M77"/>
    <mergeCell ref="N77:O77"/>
    <mergeCell ref="P77:Q77"/>
    <mergeCell ref="R77:S77"/>
    <mergeCell ref="T77:U77"/>
    <mergeCell ref="L87:M87"/>
    <mergeCell ref="N87:O87"/>
    <mergeCell ref="L86:M86"/>
    <mergeCell ref="N86:O86"/>
    <mergeCell ref="T80:U80"/>
    <mergeCell ref="T79:U79"/>
    <mergeCell ref="X50:Z50"/>
    <mergeCell ref="L85:M85"/>
    <mergeCell ref="N85:O85"/>
    <mergeCell ref="L84:M84"/>
    <mergeCell ref="N84:O84"/>
    <mergeCell ref="R79:S79"/>
    <mergeCell ref="R82:S82"/>
    <mergeCell ref="R81:S81"/>
    <mergeCell ref="R80:S80"/>
    <mergeCell ref="T82:U82"/>
    <mergeCell ref="P83:Q83"/>
    <mergeCell ref="R83:S83"/>
    <mergeCell ref="P84:Q84"/>
    <mergeCell ref="R84:S84"/>
    <mergeCell ref="T83:U83"/>
    <mergeCell ref="T81:U81"/>
    <mergeCell ref="P82:Q82"/>
    <mergeCell ref="X58:Z58"/>
    <mergeCell ref="E91:H91"/>
    <mergeCell ref="E77:H77"/>
    <mergeCell ref="E78:H78"/>
    <mergeCell ref="H20:H22"/>
    <mergeCell ref="E81:H81"/>
    <mergeCell ref="H23:H24"/>
    <mergeCell ref="E79:H79"/>
    <mergeCell ref="E80:H80"/>
    <mergeCell ref="E82:H82"/>
    <mergeCell ref="E83:H83"/>
    <mergeCell ref="E84:H84"/>
    <mergeCell ref="E85:H85"/>
    <mergeCell ref="AD33:AF33"/>
    <mergeCell ref="AM29:AM33"/>
    <mergeCell ref="X20:Z20"/>
    <mergeCell ref="AA20:AC20"/>
    <mergeCell ref="X21:Z21"/>
    <mergeCell ref="AA21:AC21"/>
    <mergeCell ref="X22:Z22"/>
    <mergeCell ref="AA22:AC22"/>
    <mergeCell ref="X23:Z23"/>
    <mergeCell ref="AA23:AC23"/>
    <mergeCell ref="X24:Z24"/>
    <mergeCell ref="AA24:AC24"/>
    <mergeCell ref="X25:Z25"/>
    <mergeCell ref="AA25:AC25"/>
    <mergeCell ref="X26:Z26"/>
    <mergeCell ref="AA26:AC26"/>
    <mergeCell ref="X28:Z28"/>
    <mergeCell ref="AA28:AC28"/>
    <mergeCell ref="X32:Z32"/>
    <mergeCell ref="AD25:AF25"/>
    <mergeCell ref="AG25:AI25"/>
    <mergeCell ref="AG27:AI27"/>
    <mergeCell ref="AD31:AF31"/>
    <mergeCell ref="AD30:AF30"/>
    <mergeCell ref="AN20:AN22"/>
    <mergeCell ref="AM68:AM69"/>
    <mergeCell ref="AN68:AN69"/>
    <mergeCell ref="AM59:AM60"/>
    <mergeCell ref="AN59:AN60"/>
    <mergeCell ref="AM57:AM58"/>
    <mergeCell ref="AN57:AN58"/>
    <mergeCell ref="AM46:AM50"/>
    <mergeCell ref="AN46:AN50"/>
    <mergeCell ref="AM36:AM37"/>
    <mergeCell ref="AN36:AN37"/>
    <mergeCell ref="AM62:AM63"/>
    <mergeCell ref="AN62:AN63"/>
    <mergeCell ref="AM41:AM42"/>
    <mergeCell ref="AN41:AN42"/>
    <mergeCell ref="AN23:AN24"/>
    <mergeCell ref="AM54:AM56"/>
    <mergeCell ref="AN44:AN45"/>
    <mergeCell ref="AM20:AM22"/>
    <mergeCell ref="AM44:AM45"/>
    <mergeCell ref="AN29:AN33"/>
    <mergeCell ref="AM51:AM53"/>
    <mergeCell ref="AN51:AN53"/>
    <mergeCell ref="AN54:AN56"/>
    <mergeCell ref="AL68:AL69"/>
    <mergeCell ref="AL29:AL33"/>
    <mergeCell ref="AL59:AL60"/>
    <mergeCell ref="AD55:AF55"/>
    <mergeCell ref="AD63:AF63"/>
    <mergeCell ref="AD56:AF56"/>
    <mergeCell ref="AG56:AI56"/>
    <mergeCell ref="AD58:AF58"/>
    <mergeCell ref="AG58:AI58"/>
    <mergeCell ref="AD60:AF60"/>
    <mergeCell ref="AG60:AI60"/>
    <mergeCell ref="AD62:AF62"/>
    <mergeCell ref="AG62:AI62"/>
    <mergeCell ref="AL54:AL56"/>
    <mergeCell ref="AD51:AF51"/>
    <mergeCell ref="AL62:AL63"/>
    <mergeCell ref="AG65:AI65"/>
    <mergeCell ref="AG66:AI66"/>
    <mergeCell ref="AL41:AL42"/>
    <mergeCell ref="AG67:AI67"/>
    <mergeCell ref="AL44:AL45"/>
    <mergeCell ref="AL51:AL53"/>
    <mergeCell ref="AG32:AI32"/>
    <mergeCell ref="AD38:AF38"/>
    <mergeCell ref="AA43:AC43"/>
    <mergeCell ref="X56:Z56"/>
    <mergeCell ref="AA56:AC56"/>
    <mergeCell ref="X57:Z57"/>
    <mergeCell ref="AA57:AC57"/>
    <mergeCell ref="X47:Z47"/>
    <mergeCell ref="AA47:AC47"/>
    <mergeCell ref="X48:Z48"/>
    <mergeCell ref="AA48:AC48"/>
    <mergeCell ref="X49:Z49"/>
    <mergeCell ref="AA49:AC49"/>
    <mergeCell ref="X54:Z54"/>
    <mergeCell ref="AA54:AC54"/>
    <mergeCell ref="X55:Z55"/>
    <mergeCell ref="AA55:AC55"/>
    <mergeCell ref="X52:Z52"/>
    <mergeCell ref="X53:Z53"/>
    <mergeCell ref="AA53:AC53"/>
    <mergeCell ref="AA51:AC51"/>
    <mergeCell ref="X74:Z74"/>
    <mergeCell ref="AA74:AC74"/>
    <mergeCell ref="AA76:AC76"/>
    <mergeCell ref="AD70:AF70"/>
    <mergeCell ref="X70:Z70"/>
    <mergeCell ref="AA70:AC70"/>
    <mergeCell ref="X71:Z71"/>
    <mergeCell ref="AA71:AC71"/>
    <mergeCell ref="X72:Z72"/>
    <mergeCell ref="AA72:AC72"/>
    <mergeCell ref="X67:Z67"/>
    <mergeCell ref="AA67:AC67"/>
    <mergeCell ref="AD67:AF67"/>
    <mergeCell ref="X64:Z64"/>
    <mergeCell ref="AA64:AC64"/>
    <mergeCell ref="AD64:AF64"/>
    <mergeCell ref="AG73:AI73"/>
    <mergeCell ref="AD71:AF71"/>
    <mergeCell ref="AD72:AF72"/>
    <mergeCell ref="AG69:AI69"/>
    <mergeCell ref="AG68:AI68"/>
    <mergeCell ref="AD69:AF69"/>
    <mergeCell ref="AD65:AF65"/>
    <mergeCell ref="AP74:AP75"/>
    <mergeCell ref="AG74:AI74"/>
    <mergeCell ref="AN74:AN75"/>
    <mergeCell ref="AG75:AI75"/>
    <mergeCell ref="AD73:AF73"/>
    <mergeCell ref="AD75:AF75"/>
    <mergeCell ref="AD74:AF74"/>
    <mergeCell ref="AG71:AI71"/>
    <mergeCell ref="AG72:AI72"/>
    <mergeCell ref="AP71:AP72"/>
    <mergeCell ref="AA27:AC27"/>
    <mergeCell ref="AG31:AI31"/>
    <mergeCell ref="AG76:AI76"/>
    <mergeCell ref="AM71:AM72"/>
    <mergeCell ref="AN71:AN72"/>
    <mergeCell ref="AO71:AO72"/>
    <mergeCell ref="AD76:AF76"/>
    <mergeCell ref="X73:Z73"/>
    <mergeCell ref="AA73:AC73"/>
    <mergeCell ref="X75:Z75"/>
    <mergeCell ref="AA75:AC75"/>
    <mergeCell ref="X76:Z76"/>
    <mergeCell ref="AG70:AI70"/>
    <mergeCell ref="X65:Z65"/>
    <mergeCell ref="AA65:AC65"/>
    <mergeCell ref="X66:Z66"/>
    <mergeCell ref="AA66:AC66"/>
    <mergeCell ref="X68:Z68"/>
    <mergeCell ref="AA68:AC68"/>
    <mergeCell ref="X69:Z69"/>
    <mergeCell ref="AA69:AC69"/>
    <mergeCell ref="AO74:AO75"/>
    <mergeCell ref="AD66:AF66"/>
    <mergeCell ref="AD68:AF68"/>
    <mergeCell ref="AG42:AI42"/>
    <mergeCell ref="AD40:AF40"/>
    <mergeCell ref="AD41:AF41"/>
    <mergeCell ref="AG41:AI41"/>
    <mergeCell ref="AG39:AI39"/>
    <mergeCell ref="AA36:AC36"/>
    <mergeCell ref="X37:Z37"/>
    <mergeCell ref="AA37:AC37"/>
    <mergeCell ref="X38:Z38"/>
    <mergeCell ref="AA38:AC38"/>
    <mergeCell ref="AG38:AI38"/>
    <mergeCell ref="AG36:AI36"/>
    <mergeCell ref="AD36:AF36"/>
    <mergeCell ref="X42:Z42"/>
    <mergeCell ref="AA42:AC42"/>
    <mergeCell ref="X41:Z41"/>
    <mergeCell ref="AA41:AC41"/>
    <mergeCell ref="AO41:AO42"/>
    <mergeCell ref="B11:B76"/>
    <mergeCell ref="AG49:AI49"/>
    <mergeCell ref="AL46:AL50"/>
    <mergeCell ref="AN12:AN13"/>
    <mergeCell ref="X44:Z44"/>
    <mergeCell ref="AA44:AC44"/>
    <mergeCell ref="X45:Z45"/>
    <mergeCell ref="AA45:AC45"/>
    <mergeCell ref="X46:Z46"/>
    <mergeCell ref="AA46:AC46"/>
    <mergeCell ref="X39:Z39"/>
    <mergeCell ref="AA39:AC39"/>
    <mergeCell ref="X40:Z40"/>
    <mergeCell ref="AA40:AC40"/>
    <mergeCell ref="X43:Z43"/>
    <mergeCell ref="AA35:AC35"/>
    <mergeCell ref="X36:Z36"/>
    <mergeCell ref="X34:Z34"/>
    <mergeCell ref="AA34:AC34"/>
    <mergeCell ref="X35:Z35"/>
    <mergeCell ref="AM39:AM40"/>
    <mergeCell ref="AL26:AL27"/>
    <mergeCell ref="AM26:AM27"/>
    <mergeCell ref="AN26:AN27"/>
    <mergeCell ref="AL39:AL40"/>
    <mergeCell ref="AL36:AL37"/>
    <mergeCell ref="X9:AJ10"/>
    <mergeCell ref="AK9:AN10"/>
    <mergeCell ref="L9:M9"/>
    <mergeCell ref="N9:O9"/>
    <mergeCell ref="P9:Q9"/>
    <mergeCell ref="R9:S9"/>
    <mergeCell ref="T9:U9"/>
    <mergeCell ref="V9:V11"/>
    <mergeCell ref="W9:W11"/>
    <mergeCell ref="R10:S10"/>
    <mergeCell ref="N10:O10"/>
    <mergeCell ref="T10:U10"/>
    <mergeCell ref="P10:Q10"/>
    <mergeCell ref="L10:M10"/>
    <mergeCell ref="X31:Z31"/>
    <mergeCell ref="AA31:AC31"/>
    <mergeCell ref="AN39:AN40"/>
    <mergeCell ref="AA29:AC29"/>
    <mergeCell ref="X30:Z30"/>
    <mergeCell ref="X27:Z27"/>
  </mergeCells>
  <phoneticPr fontId="4" type="noConversion"/>
  <dataValidations disablePrompts="1" count="1">
    <dataValidation type="list" allowBlank="1" showInputMessage="1" showErrorMessage="1" sqref="J54:J67 J44:J50 J14:J42 J69:J76">
      <formula1>$AV$2:$AV$5</formula1>
    </dataValidation>
  </dataValidations>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3:P13"/>
  <sheetViews>
    <sheetView workbookViewId="0">
      <selection activeCell="F12" sqref="F12"/>
    </sheetView>
  </sheetViews>
  <sheetFormatPr baseColWidth="10" defaultRowHeight="12.75" x14ac:dyDescent="0.2"/>
  <cols>
    <col min="5" max="6" width="14.85546875" bestFit="1" customWidth="1"/>
    <col min="7" max="7" width="13.85546875" bestFit="1" customWidth="1"/>
  </cols>
  <sheetData>
    <row r="13" spans="5:16" x14ac:dyDescent="0.2">
      <c r="E13" s="5"/>
      <c r="F13" s="5"/>
      <c r="G13" s="6"/>
      <c r="P13">
        <v>166722500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Avance Metas e Indicadores</vt:lpstr>
      <vt:lpstr>Hoja1</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User</cp:lastModifiedBy>
  <cp:lastPrinted>2018-02-19T15:51:42Z</cp:lastPrinted>
  <dcterms:created xsi:type="dcterms:W3CDTF">2007-03-15T17:15:41Z</dcterms:created>
  <dcterms:modified xsi:type="dcterms:W3CDTF">2023-02-01T23:39:07Z</dcterms:modified>
</cp:coreProperties>
</file>